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NEJAMENTO02-\Documents\DOCUMENTOS PLANEJAMENTO 2021\PROJETOS\PRAÇAS E QUADRAS\Ginásio Centro\Reforma 2021\Docs licitação - Lote 1 e  Lote 2 - Recurso R$150.000,00\PDFs\"/>
    </mc:Choice>
  </mc:AlternateContent>
  <xr:revisionPtr revIDLastSave="0" documentId="13_ncr:1_{6FF51F6F-C5BE-4AA4-9124-7191EA2DE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definedNames>
    <definedName name="_xlnm.Print_Area" localSheetId="0">Orçamento!$B$1:$I$171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B10" i="2"/>
  <c r="B11" i="2"/>
  <c r="F27" i="1"/>
  <c r="H44" i="1" l="1"/>
  <c r="F44" i="1"/>
  <c r="H42" i="1"/>
  <c r="F42" i="1"/>
  <c r="H41" i="1"/>
  <c r="F41" i="1"/>
  <c r="H40" i="1"/>
  <c r="F40" i="1"/>
  <c r="H39" i="1"/>
  <c r="F39" i="1"/>
  <c r="H37" i="1"/>
  <c r="I37" i="1" s="1"/>
  <c r="H36" i="1"/>
  <c r="F36" i="1"/>
  <c r="H35" i="1"/>
  <c r="F35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H26" i="1"/>
  <c r="F26" i="1"/>
  <c r="H24" i="1"/>
  <c r="F24" i="1"/>
  <c r="H23" i="1"/>
  <c r="F23" i="1"/>
  <c r="H22" i="1"/>
  <c r="F22" i="1"/>
  <c r="H21" i="1"/>
  <c r="F21" i="1"/>
  <c r="H20" i="1"/>
  <c r="F20" i="1"/>
  <c r="H18" i="1"/>
  <c r="F18" i="1"/>
  <c r="F159" i="1"/>
  <c r="F135" i="1"/>
  <c r="F132" i="1"/>
  <c r="I21" i="1" l="1"/>
  <c r="I23" i="1"/>
  <c r="I26" i="1"/>
  <c r="I28" i="1"/>
  <c r="I30" i="1"/>
  <c r="I35" i="1"/>
  <c r="I29" i="1"/>
  <c r="I24" i="1"/>
  <c r="I42" i="1"/>
  <c r="I31" i="1"/>
  <c r="I39" i="1"/>
  <c r="I41" i="1"/>
  <c r="I44" i="1"/>
  <c r="I36" i="1"/>
  <c r="I33" i="1"/>
  <c r="I20" i="1"/>
  <c r="I22" i="1"/>
  <c r="I32" i="1"/>
  <c r="I18" i="1"/>
  <c r="I27" i="1"/>
  <c r="I40" i="1"/>
  <c r="I45" i="1" l="1"/>
  <c r="I16" i="1" s="1"/>
  <c r="K11" i="2" s="1"/>
  <c r="F58" i="1"/>
  <c r="F60" i="1" l="1"/>
  <c r="F136" i="1" l="1"/>
  <c r="F13" i="1"/>
  <c r="F54" i="1"/>
  <c r="F157" i="1"/>
  <c r="F73" i="1"/>
  <c r="F151" i="1"/>
  <c r="F147" i="1"/>
  <c r="H119" i="1" l="1"/>
  <c r="I119" i="1" s="1"/>
  <c r="H120" i="1"/>
  <c r="I120" i="1" s="1"/>
  <c r="H163" i="1" l="1"/>
  <c r="I163" i="1" s="1"/>
  <c r="H164" i="1"/>
  <c r="I164" i="1" s="1"/>
  <c r="H149" i="1"/>
  <c r="I149" i="1" s="1"/>
  <c r="H150" i="1"/>
  <c r="I150" i="1" s="1"/>
  <c r="H118" i="1"/>
  <c r="F153" i="1"/>
  <c r="H153" i="1"/>
  <c r="I153" i="1" l="1"/>
  <c r="I118" i="1"/>
  <c r="H131" i="1"/>
  <c r="H141" i="1"/>
  <c r="H142" i="1"/>
  <c r="H117" i="1"/>
  <c r="I117" i="1" s="1"/>
  <c r="I131" i="1" l="1"/>
  <c r="I142" i="1"/>
  <c r="I141" i="1"/>
  <c r="H139" i="1" l="1"/>
  <c r="I139" i="1" s="1"/>
  <c r="H140" i="1"/>
  <c r="I140" i="1" s="1"/>
  <c r="H143" i="1"/>
  <c r="I143" i="1" s="1"/>
  <c r="H125" i="1"/>
  <c r="I125" i="1" s="1"/>
  <c r="F71" i="1" l="1"/>
  <c r="H71" i="1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A9" i="2"/>
  <c r="I71" i="1" l="1"/>
  <c r="I165" i="1" l="1"/>
  <c r="H65" i="1"/>
  <c r="I65" i="1" s="1"/>
  <c r="H107" i="1" l="1"/>
  <c r="I107" i="1" s="1"/>
  <c r="F77" i="1" l="1"/>
  <c r="H77" i="1"/>
  <c r="I77" i="1" l="1"/>
  <c r="H59" i="1" l="1"/>
  <c r="I59" i="1" s="1"/>
  <c r="H109" i="1" l="1"/>
  <c r="I109" i="1" s="1"/>
  <c r="H13" i="1"/>
  <c r="I13" i="1" s="1"/>
  <c r="H60" i="1"/>
  <c r="I60" i="1" s="1"/>
  <c r="H58" i="1"/>
  <c r="I58" i="1" s="1"/>
  <c r="I61" i="1" l="1"/>
  <c r="H102" i="1"/>
  <c r="I102" i="1" s="1"/>
  <c r="H110" i="1"/>
  <c r="I110" i="1" s="1"/>
  <c r="I11" i="2" l="1"/>
  <c r="E11" i="2"/>
  <c r="G11" i="2"/>
  <c r="C11" i="2"/>
  <c r="H54" i="1" l="1"/>
  <c r="I54" i="1" s="1"/>
  <c r="H53" i="1"/>
  <c r="I53" i="1" s="1"/>
  <c r="H69" i="1"/>
  <c r="I69" i="1" s="1"/>
  <c r="H67" i="1"/>
  <c r="I67" i="1" s="1"/>
  <c r="H66" i="1"/>
  <c r="I66" i="1" s="1"/>
  <c r="H49" i="1"/>
  <c r="I49" i="1" s="1"/>
  <c r="I50" i="1" l="1"/>
  <c r="I47" i="1" s="1"/>
  <c r="K12" i="2" s="1"/>
  <c r="I55" i="1"/>
  <c r="I52" i="1" s="1"/>
  <c r="K13" i="2" s="1"/>
  <c r="I57" i="1"/>
  <c r="K14" i="2" s="1"/>
  <c r="I78" i="1"/>
  <c r="I76" i="1" s="1"/>
  <c r="K16" i="2" s="1"/>
  <c r="H12" i="1"/>
  <c r="G12" i="2" l="1"/>
  <c r="C12" i="2"/>
  <c r="I12" i="2"/>
  <c r="E12" i="2"/>
  <c r="E13" i="2"/>
  <c r="C13" i="2"/>
  <c r="I13" i="2"/>
  <c r="G13" i="2"/>
  <c r="I16" i="2"/>
  <c r="E16" i="2"/>
  <c r="G16" i="2"/>
  <c r="C16" i="2"/>
  <c r="I14" i="2"/>
  <c r="E14" i="2"/>
  <c r="G14" i="2"/>
  <c r="C14" i="2"/>
  <c r="H138" i="1" l="1"/>
  <c r="I138" i="1" s="1"/>
  <c r="H134" i="1"/>
  <c r="I134" i="1" s="1"/>
  <c r="H105" i="1"/>
  <c r="I105" i="1" s="1"/>
  <c r="H130" i="1"/>
  <c r="I130" i="1" s="1"/>
  <c r="H73" i="1" l="1"/>
  <c r="I73" i="1" s="1"/>
  <c r="H152" i="1" l="1"/>
  <c r="I152" i="1" s="1"/>
  <c r="H151" i="1"/>
  <c r="I151" i="1" s="1"/>
  <c r="H148" i="1"/>
  <c r="I148" i="1" s="1"/>
  <c r="H147" i="1"/>
  <c r="I147" i="1" s="1"/>
  <c r="H136" i="1"/>
  <c r="I136" i="1" s="1"/>
  <c r="H135" i="1"/>
  <c r="I135" i="1" s="1"/>
  <c r="H132" i="1"/>
  <c r="I132" i="1" s="1"/>
  <c r="H128" i="1"/>
  <c r="I128" i="1" s="1"/>
  <c r="H127" i="1"/>
  <c r="I127" i="1" s="1"/>
  <c r="H116" i="1"/>
  <c r="I116" i="1" s="1"/>
  <c r="H115" i="1"/>
  <c r="I115" i="1" s="1"/>
  <c r="H111" i="1"/>
  <c r="I111" i="1" s="1"/>
  <c r="H108" i="1"/>
  <c r="I108" i="1" s="1"/>
  <c r="H104" i="1"/>
  <c r="I104" i="1" s="1"/>
  <c r="H103" i="1"/>
  <c r="I103" i="1" s="1"/>
  <c r="H106" i="1"/>
  <c r="I106" i="1" s="1"/>
  <c r="H100" i="1"/>
  <c r="I100" i="1" s="1"/>
  <c r="H101" i="1"/>
  <c r="I101" i="1" s="1"/>
  <c r="H99" i="1"/>
  <c r="I99" i="1" s="1"/>
  <c r="H95" i="1"/>
  <c r="I95" i="1" s="1"/>
  <c r="H94" i="1"/>
  <c r="I94" i="1" s="1"/>
  <c r="H93" i="1"/>
  <c r="I93" i="1" s="1"/>
  <c r="H92" i="1"/>
  <c r="I92" i="1" s="1"/>
  <c r="H87" i="1"/>
  <c r="I87" i="1" s="1"/>
  <c r="H85" i="1"/>
  <c r="I85" i="1" s="1"/>
  <c r="H84" i="1"/>
  <c r="I84" i="1" s="1"/>
  <c r="H83" i="1"/>
  <c r="I83" i="1" s="1"/>
  <c r="H82" i="1"/>
  <c r="I82" i="1" s="1"/>
  <c r="H159" i="1"/>
  <c r="I159" i="1" s="1"/>
  <c r="H158" i="1"/>
  <c r="I158" i="1" s="1"/>
  <c r="H157" i="1"/>
  <c r="I12" i="1"/>
  <c r="I96" i="1" l="1"/>
  <c r="I121" i="1"/>
  <c r="I114" i="1" s="1"/>
  <c r="K20" i="2" s="1"/>
  <c r="I154" i="1"/>
  <c r="I146" i="1" s="1"/>
  <c r="K22" i="2" s="1"/>
  <c r="I88" i="1"/>
  <c r="I80" i="1" s="1"/>
  <c r="K17" i="2" s="1"/>
  <c r="I112" i="1"/>
  <c r="I98" i="1" s="1"/>
  <c r="K19" i="2" s="1"/>
  <c r="I144" i="1"/>
  <c r="I123" i="1" s="1"/>
  <c r="K21" i="2" s="1"/>
  <c r="I14" i="1"/>
  <c r="I74" i="1"/>
  <c r="I63" i="1" s="1"/>
  <c r="K15" i="2" s="1"/>
  <c r="I162" i="1"/>
  <c r="K24" i="2" s="1"/>
  <c r="I90" i="1" l="1"/>
  <c r="K18" i="2" s="1"/>
  <c r="I18" i="2" s="1"/>
  <c r="G15" i="2"/>
  <c r="C15" i="2"/>
  <c r="I15" i="2"/>
  <c r="E15" i="2"/>
  <c r="I22" i="2"/>
  <c r="G22" i="2"/>
  <c r="E22" i="2"/>
  <c r="C22" i="2"/>
  <c r="E20" i="2"/>
  <c r="C20" i="2"/>
  <c r="I20" i="2"/>
  <c r="G20" i="2"/>
  <c r="I17" i="2"/>
  <c r="G17" i="2"/>
  <c r="E17" i="2"/>
  <c r="C17" i="2"/>
  <c r="I21" i="2"/>
  <c r="E21" i="2"/>
  <c r="G21" i="2"/>
  <c r="C21" i="2"/>
  <c r="E24" i="2"/>
  <c r="C24" i="2"/>
  <c r="I24" i="2"/>
  <c r="G24" i="2"/>
  <c r="I19" i="2"/>
  <c r="E19" i="2"/>
  <c r="G19" i="2"/>
  <c r="C19" i="2"/>
  <c r="I11" i="1"/>
  <c r="K10" i="2" s="1"/>
  <c r="E18" i="2" l="1"/>
  <c r="G18" i="2"/>
  <c r="C18" i="2"/>
  <c r="C10" i="2"/>
  <c r="E10" i="2"/>
  <c r="G10" i="2"/>
  <c r="I10" i="2"/>
  <c r="I157" i="1"/>
  <c r="I160" i="1" s="1"/>
  <c r="I167" i="1" s="1"/>
  <c r="I156" i="1" l="1"/>
  <c r="K23" i="2" s="1"/>
  <c r="I23" i="2" l="1"/>
  <c r="E23" i="2"/>
  <c r="G23" i="2"/>
  <c r="C23" i="2"/>
  <c r="K26" i="2"/>
  <c r="L10" i="2" s="1"/>
  <c r="I25" i="2" l="1"/>
  <c r="J25" i="2" s="1"/>
  <c r="G25" i="2"/>
  <c r="H25" i="2" s="1"/>
  <c r="C25" i="2"/>
  <c r="D25" i="2" s="1"/>
  <c r="D26" i="2" s="1"/>
  <c r="L12" i="2"/>
  <c r="L18" i="2"/>
  <c r="L21" i="2"/>
  <c r="L16" i="2"/>
  <c r="L24" i="2"/>
  <c r="L20" i="2"/>
  <c r="L15" i="2"/>
  <c r="L19" i="2"/>
  <c r="L17" i="2"/>
  <c r="L13" i="2"/>
  <c r="L22" i="2"/>
  <c r="L11" i="2"/>
  <c r="L23" i="2"/>
  <c r="L14" i="2"/>
  <c r="K25" i="2"/>
  <c r="E25" i="2"/>
  <c r="C26" i="2" l="1"/>
  <c r="E26" i="2" s="1"/>
  <c r="G26" i="2" s="1"/>
  <c r="I26" i="2" s="1"/>
  <c r="L25" i="2"/>
  <c r="F25" i="2"/>
  <c r="F26" i="2" s="1"/>
  <c r="H26" i="2" s="1"/>
  <c r="J26" i="2" s="1"/>
</calcChain>
</file>

<file path=xl/sharedStrings.xml><?xml version="1.0" encoding="utf-8"?>
<sst xmlns="http://schemas.openxmlformats.org/spreadsheetml/2006/main" count="397" uniqueCount="272">
  <si>
    <t>un</t>
  </si>
  <si>
    <t>ITEM</t>
  </si>
  <si>
    <t>CÓDIGO</t>
  </si>
  <si>
    <t>DESCRIÇÃO DOS SERVIÇOS</t>
  </si>
  <si>
    <t>UNID.</t>
  </si>
  <si>
    <t>QUANT.</t>
  </si>
  <si>
    <t xml:space="preserve">SERVIÇOS PRELIMINARES </t>
  </si>
  <si>
    <t>1.1</t>
  </si>
  <si>
    <t>74209/1</t>
  </si>
  <si>
    <t xml:space="preserve"> m²</t>
  </si>
  <si>
    <t>m</t>
  </si>
  <si>
    <t xml:space="preserve">Subtotal </t>
  </si>
  <si>
    <t>m³</t>
  </si>
  <si>
    <t>m²</t>
  </si>
  <si>
    <t>kg</t>
  </si>
  <si>
    <t>SISTEMA DE VEDAÇÃO VERTICAL INTERNO E EXTERNO (PAREDES)</t>
  </si>
  <si>
    <t>ALVENARIA DE VEDAÇÃO</t>
  </si>
  <si>
    <t xml:space="preserve">ESQUADRIAS </t>
  </si>
  <si>
    <t>PORTAS DE MADEIRA</t>
  </si>
  <si>
    <t xml:space="preserve">JANELAS DE ALUMÍNIO - JA </t>
  </si>
  <si>
    <t xml:space="preserve">SISTEMAS DE COBERTURA </t>
  </si>
  <si>
    <t>REVESTIMENTOS INTERNOS E EXTERNOS</t>
  </si>
  <si>
    <t>SISTEMAS DE PISOS INTERNOS E EXTERNOS (PAVIMENTAÇÃO)</t>
  </si>
  <si>
    <t xml:space="preserve">PINTURA </t>
  </si>
  <si>
    <t>Pintura em esmalte sintético 02 demãos em esquadrias de madeira</t>
  </si>
  <si>
    <t xml:space="preserve">INSTALAÇÃO HIDRÁULICA </t>
  </si>
  <si>
    <t>TUBULAÇÕES E CONEXÕES DE PVC RÍGIDO</t>
  </si>
  <si>
    <t>12.1</t>
  </si>
  <si>
    <t>Joelho 90º soldavel com bucha de latão - 25mm - 3/4", fornecimento e instalação</t>
  </si>
  <si>
    <t>REGISTROS</t>
  </si>
  <si>
    <t xml:space="preserve">LOUÇAS E METAIS </t>
  </si>
  <si>
    <t>Dispenser Saboneteira Linha Excellence, código 7009, Melhoramentos ou equivalente</t>
  </si>
  <si>
    <t>SISTEMA DE PROTEÇÃO CONTRA INCÊNDIO</t>
  </si>
  <si>
    <t>INSTALAÇÕES ELÉTRICAS - 220V</t>
  </si>
  <si>
    <t>DISJUNTORES</t>
  </si>
  <si>
    <t>ELETRODUTOS E ACESSÓRIOS</t>
  </si>
  <si>
    <t>Caixa PVC 4x2", fornecimento e instalação</t>
  </si>
  <si>
    <t>CABOS E FIOS (CONDUTORES)</t>
  </si>
  <si>
    <t>ILUMINAÇÃO E TOMADAS</t>
  </si>
  <si>
    <t>INSTALAÇÕES DE REDE ESTRUTURADA</t>
  </si>
  <si>
    <t xml:space="preserve">un </t>
  </si>
  <si>
    <t>Tomada modular RJ-45 Categoria 6 (completa)</t>
  </si>
  <si>
    <t>SERVIÇOS FINAIS</t>
  </si>
  <si>
    <t>Limpeza final da obra</t>
  </si>
  <si>
    <t>PORTAS EM ALUMÍNIO - ÁREA DE RESÍDUOS</t>
  </si>
  <si>
    <t>INSTALAÇÃO SANITÁRIA E DRENAGEM DE ÁGUAS PLUVIAIS</t>
  </si>
  <si>
    <t>Cuba  - Vogue Plus –  L.51.17 com Coluna suspensa - Vogue Plus CS.1.17  - Fab. Deca ou equivalente - Cor Branco (incluso acessórios: engate cromado, sifão metálico tipo copo, válvula de metal, parafusos cromados de fixação)</t>
  </si>
  <si>
    <t>Torneira de Mesa para lavatório PNE - Pressmatic Benefit LEED - Fab. Docol ou equivalente - Cor Cromada</t>
  </si>
  <si>
    <t>C2502</t>
  </si>
  <si>
    <t>Interruptor de 1 tecla simples. Ref. Pial Legrand ou similar. INCLUINDO SUPORTE E PLACA</t>
  </si>
  <si>
    <t>CENTRO DE DISTRIBUIÇÃO E ENTRADA DE ENERGIA</t>
  </si>
  <si>
    <t>Profissional responsável pelo orçamento:</t>
  </si>
  <si>
    <t>Número de Registro no CREA ou CAU:</t>
  </si>
  <si>
    <t>BRUNO SEEFELD</t>
  </si>
  <si>
    <t>114.853-4</t>
  </si>
  <si>
    <t>Valor TOTAL com BDI incluso</t>
  </si>
  <si>
    <t xml:space="preserve">Valor TOTAL </t>
  </si>
  <si>
    <t>Valor UNIT. C/ BDI</t>
  </si>
  <si>
    <t>Valor. UNIT. S/ BDI</t>
  </si>
  <si>
    <t>MUNICÍPIO: CAMPO ALEGRE</t>
  </si>
  <si>
    <t>BDI</t>
  </si>
  <si>
    <t>PROJETO:</t>
  </si>
  <si>
    <t>LOCALIZAÇÃO:</t>
  </si>
  <si>
    <t>Lastro de concreto magro, aplicado em blocos de coroamento ou sapatas, espessura de 3 cm. Af_08/2017</t>
  </si>
  <si>
    <t>Concreto FCK = 25mpa, traço 1:2,3:2,7 (cimento/ areia média/ brita 1)- preparo mecânico com betoneira 600 l. Af_07/2016</t>
  </si>
  <si>
    <t>Fabricação, montagem e desmontagem de fôrma para viga baldrame, em madeira serrada, e=25 mm, 4 utilizações. Af_06/2017</t>
  </si>
  <si>
    <t>Estaca broca de concreto, diâmetro de 20cm, escavação manual com trado concha, com armadura de arranque. Af_05/2020</t>
  </si>
  <si>
    <t>Armação de pilar ou viga de uma estrutura convencional de concreto armado em uma edificação térrea ou sobrado utilizando aço CA-60 de 5,0 mm - montagem. Af_12/2014</t>
  </si>
  <si>
    <t>Armação de pilar ou viga de uma estrutura convencional de concreto armado em uma edificação térrea ou sobrado utilizando aço CA-50 de 8,0 mm - montagem. Af_12/2015</t>
  </si>
  <si>
    <t>Armação de pilar ou viga de uma estrutura convencional de concreto armado em uma edificação térrea ou sobrado utilizando aço CA-50 de 10,0 mm - montagem. Af_12/2015</t>
  </si>
  <si>
    <t>Impermeabilização de superfície com membrana à base de resina acrílica, 3 demãos. Af_06/2018</t>
  </si>
  <si>
    <t>Chapisco aplicado em alvenarias e estruturas de concreto internas, com colher de pedreiro. Argamassa traço 1:3 com preparo manual. Af_06/2014</t>
  </si>
  <si>
    <t>Massa única, para recebimento de pintura, em argamassa traço 1:2:8, preparo manual, aplicada manualmente em faces internas de paredes, espessura de 20mm, com execução de taliscas. Af_06/2014</t>
  </si>
  <si>
    <t>Alvenaria de vedação de blocos cerâmicos furados na vertical de 11,5x14x24cm (espessura 11,5 cm) de paredes com área líquida maior ou igual a 6m² sem vãos e argamassa de assentamento com preparo em betoneira. Af_06/2014</t>
  </si>
  <si>
    <t>m3</t>
  </si>
  <si>
    <t>INSTALAÇÕES SANITÁRIAS</t>
  </si>
  <si>
    <t>13.1</t>
  </si>
  <si>
    <t>13.2</t>
  </si>
  <si>
    <t>Tubo PVC, serie normal, esgoto predial, DN 50 mm, fornecido e instalado em ramal de descarga ou ramal de esgoto sanitário. Af_12/2015</t>
  </si>
  <si>
    <t>Tubo PVC, serie normal, esgoto predial, DN 100 mm, fornecido e instalado em ramal de descarga ou ramal de esgoto sanitário. Af_12/2017</t>
  </si>
  <si>
    <t>Joelho 90 graus, PVC, serie normal, esgoto predial, DN 100 mm, junta elástica, fornecido e instalado em ramal de descarga ou ramal de esgoto sanitário. Af_12/2014</t>
  </si>
  <si>
    <t>Joelho 90 graus, PVC, serie normal, esgoto predial, DN 50 mm, junta elástica, fornecido e instalado em ramal de descarga ou ramal de esgoto sanitário. Af_12/2015</t>
  </si>
  <si>
    <t>Vaso sanitário sifonado com caixa acoplada louça branca – fornecimento e instalação. Af_01/2020</t>
  </si>
  <si>
    <t>Assento sanitário convencional - fornecimento e instalação. Af_01/2020</t>
  </si>
  <si>
    <t>Barra de apoio reta, em alumínio, comprimento 70 cm, fixada na parede - fornecimento e instalação. Af_01/2020</t>
  </si>
  <si>
    <t>Barra de apoio reta, em alumínio, comprimento 80 cm, fixada na parede - fornecimento e instalação. Af_01/2021</t>
  </si>
  <si>
    <t>Revestimento cerâmico para piso com placas tipo esmaltada extra de dimensões 60x60 cm aplicada em ambientes de área maior que 10 m2. Af_06/2014</t>
  </si>
  <si>
    <t>Demolição de alvenaria de bloco furado, de forma manual, sem reaproveitamento. Af_12/2017</t>
  </si>
  <si>
    <t>Mercado</t>
  </si>
  <si>
    <t>90843+00011051+00036204</t>
  </si>
  <si>
    <t>Piso em granilite, marmorite ou granitina em ambientes internos. Af_09/2020</t>
  </si>
  <si>
    <t>Execução de piso de concreto com concreto moldado in loco, usinado, acabamento convencional, não armado. Af_07/2016 e=6,0cm</t>
  </si>
  <si>
    <t>Calha em chapa de aço galvanizado número 24, desenvolvimento de 33 cm, incluso transporte vertical. Af_07/2019</t>
  </si>
  <si>
    <t>Registro de gaveta bruto, latão, roscável, 3/4", com acabamento e canopla cromados. Fornecido e instalado em ramal de água. Af_12/2014</t>
  </si>
  <si>
    <t>Joelho 90 graus, PVC, soldável, DN 25mm, instalado em ramal ou sub-ramal de água - fornecimento e instalação. Af_12/2014</t>
  </si>
  <si>
    <t>Tubo, PVC, soldável, DN 25mm, instalado em ramal ou sub-ramal de água - fornecimento e instalação. Af_12/2014</t>
  </si>
  <si>
    <t>Engate flexível em plástico branco, 1/2 x 30cm - fornecimento e instalação. Af_01/2020</t>
  </si>
  <si>
    <t>Cuba  - Vogue Plus –  L.51.17 com Coluna - Vogue Plus CS.1.17  - Fab. Deca ou equivalente - Cor Branco (incluso acessórios: engate cromado, sifão metálico tipo copo, válvula de metal, parafusos cromados de fixação)</t>
  </si>
  <si>
    <t>Papeleira Metálica Linha Izy, código 2020.C37 (papel higienico), DECA ou equivalente</t>
  </si>
  <si>
    <t>Toalheiro plástico tipo dispenser para papel toalha interfolhado</t>
  </si>
  <si>
    <t>Torneira para lavatório de mesa bica baixa Izy, código 1193.C37, Deca ou equivalente (banheiros)</t>
  </si>
  <si>
    <t>Torneira de parede de uso geral para jardim ou tanque (para balde - banheiros e 3 externas)</t>
  </si>
  <si>
    <t>Sirene emergencia banheiros PCD</t>
  </si>
  <si>
    <t>m2</t>
  </si>
  <si>
    <t>1.2</t>
  </si>
  <si>
    <t>12.1.1</t>
  </si>
  <si>
    <t>14.1</t>
  </si>
  <si>
    <t>14.5</t>
  </si>
  <si>
    <t>14.6</t>
  </si>
  <si>
    <t>15.1</t>
  </si>
  <si>
    <t>15.1.1</t>
  </si>
  <si>
    <t>15.1.2</t>
  </si>
  <si>
    <t>15.1.3</t>
  </si>
  <si>
    <t>15.2</t>
  </si>
  <si>
    <t>15.2.1</t>
  </si>
  <si>
    <t>15.3</t>
  </si>
  <si>
    <t>15.3.1</t>
  </si>
  <si>
    <t>15.4</t>
  </si>
  <si>
    <t>16.6</t>
  </si>
  <si>
    <t>17.1</t>
  </si>
  <si>
    <t>17.1.1</t>
  </si>
  <si>
    <t>17.2</t>
  </si>
  <si>
    <t>17.2.1</t>
  </si>
  <si>
    <t>18.1</t>
  </si>
  <si>
    <t>18.1.2</t>
  </si>
  <si>
    <t>18.1.3</t>
  </si>
  <si>
    <t>18.1.6</t>
  </si>
  <si>
    <t>18.1.7</t>
  </si>
  <si>
    <t>19.1</t>
  </si>
  <si>
    <t>19.2</t>
  </si>
  <si>
    <t>19.4</t>
  </si>
  <si>
    <t>19.5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</si>
  <si>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</si>
  <si>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</si>
  <si>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</si>
  <si>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</si>
  <si>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</si>
  <si>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</si>
  <si>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</si>
  <si>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</si>
  <si>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20.1</t>
  </si>
  <si>
    <t>20.2</t>
  </si>
  <si>
    <t>20.3</t>
  </si>
  <si>
    <t>20.5</t>
  </si>
  <si>
    <t>20.7</t>
  </si>
  <si>
    <t>21.1</t>
  </si>
  <si>
    <t>21.1.2</t>
  </si>
  <si>
    <t>21.2</t>
  </si>
  <si>
    <t>21.2.1</t>
  </si>
  <si>
    <t>21.3</t>
  </si>
  <si>
    <t>21.3.3</t>
  </si>
  <si>
    <t>21.4</t>
  </si>
  <si>
    <t>22.1</t>
  </si>
  <si>
    <t>23.1</t>
  </si>
  <si>
    <t>23.2</t>
  </si>
  <si>
    <t>24.4</t>
  </si>
  <si>
    <t>PORTAS DE FERRO</t>
  </si>
  <si>
    <t>DISCRIMINAÇÃO</t>
  </si>
  <si>
    <t>PERÍODO</t>
  </si>
  <si>
    <t>TOTAL</t>
  </si>
  <si>
    <t>Mês 01</t>
  </si>
  <si>
    <t>Mês 02</t>
  </si>
  <si>
    <t>R$</t>
  </si>
  <si>
    <t>%</t>
  </si>
  <si>
    <t>TOTAL NO MÊS (SIMPLES)</t>
  </si>
  <si>
    <t>TOTAL NO MÊS (ACUMULADO)</t>
  </si>
  <si>
    <t>NOME E Nº CREA DO RESPONSÁVEL TÉCNICO:                                   Bruno Seefeld   CREA-SC -   114853-4</t>
  </si>
  <si>
    <t>Reforma e ampliação do Ginásio Helmuth Erico Herbst</t>
  </si>
  <si>
    <t xml:space="preserve"> Rua Altamiro Lobo Guimarães, nº 265, Bairro Centro</t>
  </si>
  <si>
    <t>PROJETO: Reforma e ampliação do Ginásio Helmuth Erico Herbst</t>
  </si>
  <si>
    <t>LOCALIZAÇÃO:  Rua Altamiro Lobo Guimarães, nº 265, Bairro Centro</t>
  </si>
  <si>
    <t>Mês 03</t>
  </si>
  <si>
    <t>Mês 04</t>
  </si>
  <si>
    <t>Je - Janela ferro- reformar, bascula, 480x150, completa conforme projeto de esquadrias (13 un)</t>
  </si>
  <si>
    <t>15.4.2</t>
  </si>
  <si>
    <t xml:space="preserve">P1 - Kit de porta de madeira para pintura, semi-oca (leve ou média), padrão médio, 80x210cm, espessura de 3,5cm, itens inclusos: dobradiças, montagem e instalação do batente, fechadura com execução do furo - fornecimento e instalação. Af_12/2019 </t>
  </si>
  <si>
    <t>P2 -  Kit de porta de madeira para pintura, semi-oca (leve ou média), padrão médio, 80x210cm, espessura de 3,5cm, itens inclusos: dobradiças, montagem e instalação do batente, fechadura com execução do furo - fornecimento e instalação. Af_12/2019  + Chapa de aço galvanizada bitola GSG 26, e = 0,50 mm (4,00 kg/m2) + Barra de apoio reta, em aço inox polido, comprimento 40cm, diâmetro mínimo 3 cm</t>
  </si>
  <si>
    <t>P4 - Porta de ferro, de abrir, tipo grade com chapa, com guarnições. Af_12/2019, 1 folhas de 80x210 cm.</t>
  </si>
  <si>
    <t>P3 - Kit de porta de madeira para pintura, semi-oca (leve ou média), padrão médio, 120x210cm, espessura de 3,5cm, folha dupla, itens inclusos: dobradiças, montagem e instalação do batente, fechadura com execução do furo - fornecimento e instalação. Af_12/2020</t>
  </si>
  <si>
    <t>Pa - 125x150 - Porta em alumínio de abrir tipo veneziana com guarnição, fixação com parafusos - fornecimento e instalação. Af_12/2019</t>
  </si>
  <si>
    <t>91312+91295</t>
  </si>
  <si>
    <t>11.2</t>
  </si>
  <si>
    <t>11.2.1</t>
  </si>
  <si>
    <t>11.2.2</t>
  </si>
  <si>
    <t>11.2.3</t>
  </si>
  <si>
    <t>11.2.4</t>
  </si>
  <si>
    <t>Alvenaria de vedação de blocos vazados de concreto de 14x19x39cm (espessura 14cm) de paredes com área líquida menor que 6m² sem vãos e argamassa de assentamento com preparo em betoneira. Af_06/2014</t>
  </si>
  <si>
    <t>Sapata corrida - 0,50x0,20m</t>
  </si>
  <si>
    <t>Muro de contenção - 30m - h=3m</t>
  </si>
  <si>
    <t>Piso - acabamento</t>
  </si>
  <si>
    <t>Pilares e muro de blocos de concreto</t>
  </si>
  <si>
    <t>Ancôras - 150x15x15</t>
  </si>
  <si>
    <t>Massa única, para recebimento de pintura ou cerâmica, em argamassa industrializada, preparo mecânico, aplicado com equipamento de mistura e projeção de 1,5 m3/h de argamassa em faces internas de paredes, espessura de 10mm, sem execução de taliscas. Af_06/2014</t>
  </si>
  <si>
    <t>Quadro de distribuição de energia em PVC, de embutir, sem barramento, para 12 disjuntores - fornecimento e instalação. Af_10/2020</t>
  </si>
  <si>
    <t>Disjuntor monopolar tipo DIN, corrente nominal de 10A - fornecimento e instalação. Af_10/2019</t>
  </si>
  <si>
    <t>Disjuntor monopolar tipo DIN, corrente nominal de 20A - fornecimento e instalação. Af_10/2021</t>
  </si>
  <si>
    <t>Cabo de cobre flexível isolado, 1,5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</si>
  <si>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</si>
  <si>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Cabo de cobre flexível isolado, 6 mm², anti-chama 450/750 v, para circuitos terminais - fornecimento e instalação. Af_12/2016</t>
  </si>
  <si>
    <t>Luminária tipo plafon, de sobrepor, com 1 lâmpada LED de 12/13 w, sem reator - fornecimento e instalação. Af_02/2020</t>
  </si>
  <si>
    <t>Tomada média de embutir (1 módulo), 2p+t 10 a, incluindo suporte e placa - fornecimento e instalação. Af_12/2014</t>
  </si>
  <si>
    <t>Tomada alta de embutir (1 módulo), 2p+t 10 a, incluindo suporte e placa - fornecimento e instalação. Af_12/2013</t>
  </si>
  <si>
    <t>Tomada baixa de embutir (2 módulos), 2p+t 10 a, incluindo suporte e placa - fornecimento e instalação. Af_12/2015</t>
  </si>
  <si>
    <t>Interruptor simples (2 módulos), 10a/250v, incluindo suporte e placa - fornecimento e instalação. Af_12/2015</t>
  </si>
  <si>
    <t>Cabo eletrônico categoria 6, instalado em edificação institucional - fornecimento e instalação. Af_11/2019</t>
  </si>
  <si>
    <t>Caixa retangular 4" x 2" baixa (0,30 m do piso), PVC, instalada em parede - fornecimento e instalação. Af_12/2015</t>
  </si>
  <si>
    <t>Eletrocalha lisa ou perfurada em aço galvanizado, largura 200 ou 400 mm e altura 50 mm, espaçado a cada 1,5 m, em perfilado de seção 38x76 mm, por metro de eletrecolha fixada. Af_07/2017</t>
  </si>
  <si>
    <t>Eletroduto rígido roscável, PVC, DN 25 mm (1"), para circuitos terminais, instalado em laje - fornecimento e instalação. Af_12/2015</t>
  </si>
  <si>
    <t>Plantio de grama em placas. Af_05/2018</t>
  </si>
  <si>
    <t>Placa fotoluminescente 25x16</t>
  </si>
  <si>
    <t>Luminária de emergência, LED 600 lumens - 2 faróis - fornecimento e instalação. Af_02/2020</t>
  </si>
  <si>
    <t>Eletroduto rígido roscável, PVC, DN 25 mm (3/4"), para circuitos terminais, instalado em forro - fornecimento e instalação. Af_12/2015</t>
  </si>
  <si>
    <t>17.1.3</t>
  </si>
  <si>
    <t>17.1.4</t>
  </si>
  <si>
    <t>17.1.6</t>
  </si>
  <si>
    <t>Placas extintor - conforme projeto</t>
  </si>
  <si>
    <t>20.8</t>
  </si>
  <si>
    <t>21.2.2</t>
  </si>
  <si>
    <t>21.3.5</t>
  </si>
  <si>
    <t>21.3.6</t>
  </si>
  <si>
    <t>21.4.1</t>
  </si>
  <si>
    <t>21.4.2</t>
  </si>
  <si>
    <t>21.4.4</t>
  </si>
  <si>
    <t>21.5</t>
  </si>
  <si>
    <t>21.5.2</t>
  </si>
  <si>
    <t>21.5.3</t>
  </si>
  <si>
    <t>21.5.4</t>
  </si>
  <si>
    <t>21.5.5</t>
  </si>
  <si>
    <t>21.5.8</t>
  </si>
  <si>
    <t>21.5.9</t>
  </si>
  <si>
    <t>Tomada para telefone rj11 - fornecimento e instalação. Af_11/2019</t>
  </si>
  <si>
    <t>22.2</t>
  </si>
  <si>
    <t>22.3</t>
  </si>
  <si>
    <t>22.4</t>
  </si>
  <si>
    <t>22.5</t>
  </si>
  <si>
    <t>22.6</t>
  </si>
  <si>
    <t>22.7</t>
  </si>
  <si>
    <t>Cabo telefônico cci-50 3 pares, sem blindagem, instalado em entrada de edificação - fornecimento e instalação. Af_11/2019</t>
  </si>
  <si>
    <t>24.11</t>
  </si>
  <si>
    <t>23.6</t>
  </si>
  <si>
    <t>Pintura em latex acrílico 02 demãos sobre paredes internas, externas - tinta premium</t>
  </si>
  <si>
    <t>Pintura em latex PVA 02 demãos sobre teto - tinta premium</t>
  </si>
  <si>
    <t>Extintor de incêndio portátil com carga de PQS de 4 kg, 20 BC - fornecimento e instalação. Af_10/2020_p</t>
  </si>
  <si>
    <t>Placa de sinalização de alerta quadros de distribuição "Cuidado risco de choque"</t>
  </si>
  <si>
    <t>Placa indicativa "Proibido colocar material"</t>
  </si>
  <si>
    <t xml:space="preserve">Placa da obra - padrão 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</si>
  <si>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</si>
  <si>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</si>
  <si>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</si>
  <si>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</si>
  <si>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</si>
  <si>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</si>
  <si>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</si>
  <si>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</si>
  <si>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</si>
  <si>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</si>
  <si>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</si>
  <si>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</si>
  <si>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</si>
  <si>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11.2.18</t>
  </si>
  <si>
    <t>11.2.19</t>
  </si>
  <si>
    <t>11.2.20</t>
  </si>
  <si>
    <t>19.21</t>
  </si>
  <si>
    <t>Muro de alvenaria - H=1,1m</t>
  </si>
  <si>
    <t>Alvenaria de vedação de blocos vazados de concreto de 9x19x39cm (espessura 9cm) de paredes com área líquida menor que 6m² sem vãos e argamassa de assentamento com preparo em betoneira. Af_06/2015</t>
  </si>
  <si>
    <t>LOTE 2 - MURO DE CONTENÇÃO FUNDOS E REFORMA INTERNA - PARTE OESTE (FRENTE PARA RUA ALTAMIRO LOBO GUIMARÃES) ABAIXO DA ARQUIBANCADA</t>
  </si>
  <si>
    <t>Pingadeira de concreto L=15cm</t>
  </si>
  <si>
    <t>FUNDAÇÕES (Muro de contenção)</t>
  </si>
  <si>
    <t>DATA : 09/2021</t>
  </si>
  <si>
    <t>PLANILHA DE ORÇAMENTO ESTIMATIVO - LOTE 2</t>
  </si>
  <si>
    <t>PLANILHA DE CRONOGRAMA FÍSICO-FINANCEIRO - LOTE 2</t>
  </si>
  <si>
    <t>Planilha de referencia SINAPI/SC - 10/2021 -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</si>
</sst>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0.00;[Red]0.00"/>
    <numFmt numFmtId="167" formatCode="#,##0.00;[Red]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5" fillId="0" borderId="0" applyBorder="0" applyProtection="0"/>
    <xf numFmtId="0" fontId="6" fillId="0" borderId="0" applyNumberFormat="0" applyBorder="0" applyProtection="0"/>
    <xf numFmtId="0" fontId="7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44" fontId="3" fillId="0" borderId="0" xfId="1" applyFont="1" applyFill="1" applyBorder="1" applyAlignment="1">
      <alignment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164" fontId="3" fillId="2" borderId="5" xfId="4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4" fontId="3" fillId="2" borderId="4" xfId="3" applyNumberFormat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3" fillId="0" borderId="7" xfId="3" applyFont="1" applyFill="1" applyBorder="1" applyAlignment="1">
      <alignment vertical="center" wrapText="1"/>
    </xf>
    <xf numFmtId="0" fontId="3" fillId="0" borderId="8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right" vertical="center" wrapText="1"/>
    </xf>
    <xf numFmtId="44" fontId="3" fillId="0" borderId="8" xfId="1" applyFont="1" applyFill="1" applyBorder="1" applyAlignment="1">
      <alignment horizontal="right" vertical="center" wrapText="1"/>
    </xf>
    <xf numFmtId="44" fontId="3" fillId="4" borderId="6" xfId="1" applyNumberFormat="1" applyFont="1" applyFill="1" applyBorder="1" applyAlignment="1">
      <alignment vertical="center" wrapText="1"/>
    </xf>
    <xf numFmtId="0" fontId="3" fillId="0" borderId="16" xfId="3" applyFont="1" applyFill="1" applyBorder="1" applyAlignment="1">
      <alignment vertical="center" wrapText="1"/>
    </xf>
    <xf numFmtId="0" fontId="3" fillId="0" borderId="10" xfId="3" applyFont="1" applyFill="1" applyBorder="1" applyAlignment="1">
      <alignment vertical="center" wrapText="1"/>
    </xf>
    <xf numFmtId="44" fontId="3" fillId="0" borderId="10" xfId="1" applyFont="1" applyFill="1" applyBorder="1" applyAlignment="1">
      <alignment horizontal="right" vertical="center" wrapText="1"/>
    </xf>
    <xf numFmtId="0" fontId="3" fillId="0" borderId="22" xfId="3" applyFont="1" applyFill="1" applyBorder="1" applyAlignment="1">
      <alignment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left" vertical="center" wrapText="1"/>
    </xf>
    <xf numFmtId="0" fontId="3" fillId="0" borderId="22" xfId="3" applyFont="1" applyFill="1" applyBorder="1" applyAlignment="1">
      <alignment horizontal="center" vertical="center" wrapText="1"/>
    </xf>
    <xf numFmtId="0" fontId="3" fillId="0" borderId="22" xfId="3" applyFont="1" applyFill="1" applyBorder="1" applyAlignment="1">
      <alignment horizontal="left" vertical="center" wrapText="1"/>
    </xf>
    <xf numFmtId="164" fontId="3" fillId="0" borderId="22" xfId="4" applyFont="1" applyFill="1" applyBorder="1" applyAlignment="1">
      <alignment vertical="center" wrapText="1"/>
    </xf>
    <xf numFmtId="0" fontId="2" fillId="0" borderId="22" xfId="3" applyFont="1" applyFill="1" applyBorder="1" applyAlignment="1">
      <alignment vertical="center" wrapText="1"/>
    </xf>
    <xf numFmtId="0" fontId="3" fillId="0" borderId="24" xfId="3" applyFont="1" applyFill="1" applyBorder="1" applyAlignment="1">
      <alignment vertical="center" wrapText="1"/>
    </xf>
    <xf numFmtId="0" fontId="3" fillId="0" borderId="25" xfId="3" applyFont="1" applyFill="1" applyBorder="1" applyAlignment="1">
      <alignment vertical="center" wrapText="1"/>
    </xf>
    <xf numFmtId="44" fontId="3" fillId="0" borderId="26" xfId="1" applyFont="1" applyFill="1" applyBorder="1" applyAlignment="1">
      <alignment horizontal="right" vertical="center" wrapText="1"/>
    </xf>
    <xf numFmtId="0" fontId="3" fillId="0" borderId="23" xfId="3" applyFont="1" applyFill="1" applyBorder="1" applyAlignment="1">
      <alignment vertical="center" wrapText="1"/>
    </xf>
    <xf numFmtId="44" fontId="3" fillId="0" borderId="23" xfId="1" applyNumberFormat="1" applyFont="1" applyFill="1" applyBorder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wrapText="1"/>
    </xf>
    <xf numFmtId="0" fontId="2" fillId="0" borderId="0" xfId="3" applyFont="1" applyFill="1" applyAlignment="1">
      <alignment horizontal="left" vertical="center" wrapText="1"/>
    </xf>
    <xf numFmtId="164" fontId="2" fillId="0" borderId="0" xfId="4" applyFont="1" applyFill="1" applyAlignment="1">
      <alignment horizontal="center" vertical="center" wrapText="1"/>
    </xf>
    <xf numFmtId="44" fontId="2" fillId="0" borderId="0" xfId="1" applyFont="1" applyFill="1" applyAlignment="1">
      <alignment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164" fontId="2" fillId="3" borderId="4" xfId="4" applyFont="1" applyFill="1" applyBorder="1" applyAlignment="1">
      <alignment vertical="center" wrapText="1"/>
    </xf>
    <xf numFmtId="44" fontId="3" fillId="3" borderId="4" xfId="1" applyFont="1" applyFill="1" applyBorder="1" applyAlignment="1">
      <alignment vertical="center" wrapText="1"/>
    </xf>
    <xf numFmtId="44" fontId="3" fillId="3" borderId="6" xfId="1" applyNumberFormat="1" applyFont="1" applyFill="1" applyBorder="1" applyAlignment="1">
      <alignment vertical="center" wrapText="1"/>
    </xf>
    <xf numFmtId="164" fontId="2" fillId="0" borderId="22" xfId="4" applyFont="1" applyFill="1" applyBorder="1" applyAlignment="1">
      <alignment horizontal="right" vertical="center" wrapText="1"/>
    </xf>
    <xf numFmtId="44" fontId="2" fillId="0" borderId="22" xfId="1" applyFont="1" applyFill="1" applyBorder="1" applyAlignment="1">
      <alignment horizontal="right" vertical="center" wrapText="1"/>
    </xf>
    <xf numFmtId="44" fontId="2" fillId="0" borderId="22" xfId="1" applyFont="1" applyFill="1" applyBorder="1" applyAlignment="1">
      <alignment vertical="center" wrapText="1"/>
    </xf>
    <xf numFmtId="44" fontId="2" fillId="0" borderId="22" xfId="1" applyNumberFormat="1" applyFont="1" applyFill="1" applyBorder="1" applyAlignment="1">
      <alignment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vertical="center" wrapText="1"/>
    </xf>
    <xf numFmtId="44" fontId="2" fillId="0" borderId="1" xfId="1" applyNumberFormat="1" applyFont="1" applyFill="1" applyBorder="1" applyAlignment="1">
      <alignment vertical="center" wrapText="1"/>
    </xf>
    <xf numFmtId="44" fontId="2" fillId="0" borderId="14" xfId="1" applyFont="1" applyFill="1" applyBorder="1" applyAlignment="1">
      <alignment vertical="center" wrapText="1"/>
    </xf>
    <xf numFmtId="44" fontId="2" fillId="0" borderId="14" xfId="1" applyNumberFormat="1" applyFont="1" applyFill="1" applyBorder="1" applyAlignment="1">
      <alignment vertical="center" wrapText="1"/>
    </xf>
    <xf numFmtId="44" fontId="2" fillId="0" borderId="0" xfId="1" applyNumberFormat="1" applyFont="1" applyFill="1" applyBorder="1" applyAlignment="1">
      <alignment vertical="center" wrapText="1"/>
    </xf>
    <xf numFmtId="164" fontId="2" fillId="0" borderId="22" xfId="4" applyFont="1" applyFill="1" applyBorder="1" applyAlignment="1">
      <alignment vertical="center" wrapText="1"/>
    </xf>
    <xf numFmtId="164" fontId="2" fillId="0" borderId="1" xfId="4" applyFont="1" applyFill="1" applyBorder="1" applyAlignment="1">
      <alignment vertical="center" wrapText="1"/>
    </xf>
    <xf numFmtId="164" fontId="3" fillId="3" borderId="4" xfId="4" applyFont="1" applyFill="1" applyBorder="1" applyAlignment="1">
      <alignment vertical="center" wrapText="1"/>
    </xf>
    <xf numFmtId="0" fontId="3" fillId="3" borderId="4" xfId="3" applyFont="1" applyFill="1" applyBorder="1" applyAlignment="1">
      <alignment horizontal="center" wrapText="1"/>
    </xf>
    <xf numFmtId="0" fontId="2" fillId="0" borderId="0" xfId="3" applyFont="1" applyAlignment="1">
      <alignment vertical="center" wrapText="1"/>
    </xf>
    <xf numFmtId="0" fontId="3" fillId="6" borderId="0" xfId="3" applyFont="1" applyFill="1" applyBorder="1" applyAlignment="1">
      <alignment horizontal="center" vertical="center" wrapText="1"/>
    </xf>
    <xf numFmtId="0" fontId="3" fillId="4" borderId="15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vertical="center" wrapText="1"/>
    </xf>
    <xf numFmtId="164" fontId="3" fillId="4" borderId="4" xfId="4" applyFont="1" applyFill="1" applyBorder="1" applyAlignment="1">
      <alignment vertical="center" wrapText="1"/>
    </xf>
    <xf numFmtId="44" fontId="3" fillId="4" borderId="4" xfId="1" applyFont="1" applyFill="1" applyBorder="1" applyAlignment="1">
      <alignment vertical="center" wrapText="1"/>
    </xf>
    <xf numFmtId="167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44" fontId="3" fillId="7" borderId="15" xfId="1" applyFont="1" applyFill="1" applyBorder="1" applyAlignment="1">
      <alignment horizontal="right" vertical="center" wrapText="1"/>
    </xf>
    <xf numFmtId="44" fontId="3" fillId="7" borderId="6" xfId="1" applyNumberFormat="1" applyFont="1" applyFill="1" applyBorder="1" applyAlignment="1">
      <alignment vertical="center" wrapText="1"/>
    </xf>
    <xf numFmtId="44" fontId="3" fillId="0" borderId="12" xfId="1" applyFont="1" applyFill="1" applyBorder="1" applyAlignment="1">
      <alignment horizontal="right" vertical="center" wrapText="1"/>
    </xf>
    <xf numFmtId="44" fontId="3" fillId="0" borderId="13" xfId="1" applyNumberFormat="1" applyFont="1" applyFill="1" applyBorder="1" applyAlignment="1">
      <alignment vertical="center" wrapText="1"/>
    </xf>
    <xf numFmtId="44" fontId="3" fillId="7" borderId="1" xfId="1" applyNumberFormat="1" applyFont="1" applyFill="1" applyBorder="1" applyAlignment="1">
      <alignment vertical="center" wrapText="1"/>
    </xf>
    <xf numFmtId="0" fontId="3" fillId="6" borderId="22" xfId="3" applyFont="1" applyFill="1" applyBorder="1" applyAlignment="1">
      <alignment horizontal="center" vertical="center" wrapText="1"/>
    </xf>
    <xf numFmtId="0" fontId="3" fillId="6" borderId="22" xfId="3" applyFont="1" applyFill="1" applyBorder="1" applyAlignment="1">
      <alignment vertical="center" wrapText="1"/>
    </xf>
    <xf numFmtId="164" fontId="3" fillId="6" borderId="22" xfId="4" applyFont="1" applyFill="1" applyBorder="1" applyAlignment="1">
      <alignment vertical="center" wrapText="1"/>
    </xf>
    <xf numFmtId="44" fontId="3" fillId="6" borderId="22" xfId="1" applyFont="1" applyFill="1" applyBorder="1" applyAlignment="1">
      <alignment vertical="center" wrapText="1"/>
    </xf>
    <xf numFmtId="44" fontId="3" fillId="6" borderId="22" xfId="1" applyNumberFormat="1" applyFont="1" applyFill="1" applyBorder="1" applyAlignment="1">
      <alignment vertical="center" wrapText="1"/>
    </xf>
    <xf numFmtId="44" fontId="3" fillId="7" borderId="32" xfId="1" applyFont="1" applyFill="1" applyBorder="1" applyAlignment="1">
      <alignment horizontal="right" vertical="center" wrapText="1"/>
    </xf>
    <xf numFmtId="44" fontId="3" fillId="7" borderId="33" xfId="1" applyNumberFormat="1" applyFont="1" applyFill="1" applyBorder="1" applyAlignment="1">
      <alignment vertical="center" wrapText="1"/>
    </xf>
    <xf numFmtId="44" fontId="2" fillId="6" borderId="1" xfId="1" applyFont="1" applyFill="1" applyBorder="1" applyAlignment="1">
      <alignment horizontal="right" vertical="center" wrapText="1"/>
    </xf>
    <xf numFmtId="164" fontId="2" fillId="6" borderId="1" xfId="4" applyFont="1" applyFill="1" applyBorder="1" applyAlignment="1">
      <alignment horizontal="right" vertical="center" wrapText="1"/>
    </xf>
    <xf numFmtId="164" fontId="2" fillId="6" borderId="22" xfId="4" applyFont="1" applyFill="1" applyBorder="1" applyAlignment="1">
      <alignment horizontal="right" vertical="center" wrapText="1"/>
    </xf>
    <xf numFmtId="0" fontId="2" fillId="6" borderId="22" xfId="3" applyFont="1" applyFill="1" applyBorder="1" applyAlignment="1">
      <alignment vertical="center" wrapText="1"/>
    </xf>
    <xf numFmtId="0" fontId="2" fillId="6" borderId="22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4" fontId="14" fillId="4" borderId="1" xfId="1" applyFont="1" applyFill="1" applyBorder="1" applyAlignment="1">
      <alignment horizontal="center" vertical="center" wrapText="1"/>
    </xf>
    <xf numFmtId="10" fontId="14" fillId="3" borderId="21" xfId="8" applyNumberFormat="1" applyFont="1" applyFill="1" applyBorder="1" applyAlignment="1">
      <alignment horizontal="center" vertical="center" wrapText="1"/>
    </xf>
    <xf numFmtId="44" fontId="14" fillId="3" borderId="17" xfId="1" applyFont="1" applyFill="1" applyBorder="1" applyAlignment="1">
      <alignment horizontal="right" wrapText="1"/>
    </xf>
    <xf numFmtId="10" fontId="14" fillId="3" borderId="43" xfId="8" applyNumberFormat="1" applyFont="1" applyFill="1" applyBorder="1" applyAlignment="1">
      <alignment horizontal="center" wrapText="1"/>
    </xf>
    <xf numFmtId="44" fontId="14" fillId="3" borderId="44" xfId="1" applyFont="1" applyFill="1" applyBorder="1" applyAlignment="1">
      <alignment horizontal="right" vertical="center" wrapText="1"/>
    </xf>
    <xf numFmtId="44" fontId="14" fillId="3" borderId="45" xfId="1" applyFont="1" applyFill="1" applyBorder="1" applyAlignment="1">
      <alignment horizontal="right" vertical="center" wrapText="1"/>
    </xf>
    <xf numFmtId="44" fontId="14" fillId="3" borderId="1" xfId="1" applyFont="1" applyFill="1" applyBorder="1" applyAlignment="1">
      <alignment horizontal="center" vertical="center" wrapText="1"/>
    </xf>
    <xf numFmtId="44" fontId="14" fillId="3" borderId="14" xfId="1" applyFont="1" applyFill="1" applyBorder="1" applyAlignment="1">
      <alignment horizontal="center" vertical="center" wrapText="1"/>
    </xf>
    <xf numFmtId="44" fontId="14" fillId="5" borderId="1" xfId="1" applyFont="1" applyFill="1" applyBorder="1" applyAlignment="1">
      <alignment horizontal="center" vertical="center" wrapText="1"/>
    </xf>
    <xf numFmtId="10" fontId="14" fillId="5" borderId="21" xfId="8" applyNumberFormat="1" applyFont="1" applyFill="1" applyBorder="1" applyAlignment="1">
      <alignment horizontal="center" vertical="center" wrapText="1"/>
    </xf>
    <xf numFmtId="44" fontId="13" fillId="3" borderId="1" xfId="1" applyFont="1" applyFill="1" applyBorder="1" applyAlignment="1">
      <alignment horizontal="center" vertical="top" wrapText="1"/>
    </xf>
    <xf numFmtId="44" fontId="14" fillId="8" borderId="1" xfId="1" applyFont="1" applyFill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 wrapText="1"/>
    </xf>
    <xf numFmtId="44" fontId="10" fillId="0" borderId="34" xfId="1" applyFont="1" applyBorder="1" applyAlignment="1">
      <alignment horizontal="left" vertical="top" wrapText="1"/>
    </xf>
    <xf numFmtId="44" fontId="10" fillId="0" borderId="0" xfId="1" applyFont="1" applyBorder="1" applyAlignment="1">
      <alignment horizontal="left" vertical="top" wrapText="1"/>
    </xf>
    <xf numFmtId="44" fontId="2" fillId="0" borderId="34" xfId="1" applyFont="1" applyBorder="1" applyAlignment="1">
      <alignment horizontal="left" vertical="top" wrapText="1"/>
    </xf>
    <xf numFmtId="9" fontId="13" fillId="3" borderId="1" xfId="2" applyFont="1" applyFill="1" applyBorder="1" applyAlignment="1">
      <alignment horizontal="center" vertical="top" wrapText="1"/>
    </xf>
    <xf numFmtId="9" fontId="14" fillId="8" borderId="1" xfId="2" applyFont="1" applyFill="1" applyBorder="1" applyAlignment="1">
      <alignment horizontal="center" vertical="center" wrapText="1"/>
    </xf>
    <xf numFmtId="9" fontId="14" fillId="3" borderId="45" xfId="2" applyFont="1" applyFill="1" applyBorder="1" applyAlignment="1">
      <alignment vertical="center" wrapText="1"/>
    </xf>
    <xf numFmtId="9" fontId="14" fillId="0" borderId="1" xfId="2" applyFont="1" applyBorder="1" applyAlignment="1">
      <alignment horizontal="center" vertical="center" wrapText="1"/>
    </xf>
    <xf numFmtId="9" fontId="14" fillId="3" borderId="46" xfId="2" applyFont="1" applyFill="1" applyBorder="1" applyAlignment="1">
      <alignment horizontal="right" vertical="center" wrapText="1"/>
    </xf>
    <xf numFmtId="9" fontId="10" fillId="0" borderId="34" xfId="2" applyFont="1" applyBorder="1" applyAlignment="1">
      <alignment horizontal="left" vertical="top" wrapText="1"/>
    </xf>
    <xf numFmtId="9" fontId="10" fillId="0" borderId="0" xfId="2" applyFont="1" applyBorder="1" applyAlignment="1">
      <alignment horizontal="left" vertical="top" wrapText="1"/>
    </xf>
    <xf numFmtId="9" fontId="2" fillId="0" borderId="34" xfId="2" applyFont="1" applyBorder="1" applyAlignment="1">
      <alignment horizontal="left" vertical="top" wrapText="1"/>
    </xf>
    <xf numFmtId="0" fontId="0" fillId="0" borderId="0" xfId="0" applyAlignment="1">
      <alignment wrapText="1"/>
    </xf>
    <xf numFmtId="44" fontId="0" fillId="0" borderId="25" xfId="1" applyFont="1" applyBorder="1" applyAlignment="1">
      <alignment wrapText="1"/>
    </xf>
    <xf numFmtId="9" fontId="0" fillId="0" borderId="25" xfId="2" applyFont="1" applyBorder="1" applyAlignment="1">
      <alignment wrapText="1"/>
    </xf>
    <xf numFmtId="9" fontId="10" fillId="0" borderId="39" xfId="2" applyFont="1" applyBorder="1" applyAlignment="1">
      <alignment horizontal="left" vertical="center" wrapText="1"/>
    </xf>
    <xf numFmtId="44" fontId="10" fillId="0" borderId="0" xfId="1" applyFont="1" applyBorder="1" applyAlignment="1">
      <alignment horizontal="left" vertical="center" wrapText="1"/>
    </xf>
    <xf numFmtId="9" fontId="10" fillId="0" borderId="0" xfId="2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44" fontId="0" fillId="0" borderId="0" xfId="1" applyFont="1" applyAlignment="1">
      <alignment wrapText="1"/>
    </xf>
    <xf numFmtId="9" fontId="0" fillId="0" borderId="0" xfId="2" applyFont="1" applyAlignment="1">
      <alignment wrapText="1"/>
    </xf>
    <xf numFmtId="164" fontId="2" fillId="6" borderId="22" xfId="4" applyFont="1" applyFill="1" applyBorder="1" applyAlignment="1">
      <alignment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44" fontId="2" fillId="0" borderId="27" xfId="1" applyFont="1" applyFill="1" applyBorder="1" applyAlignment="1">
      <alignment vertical="center" wrapText="1"/>
    </xf>
    <xf numFmtId="44" fontId="2" fillId="6" borderId="14" xfId="1" applyFont="1" applyFill="1" applyBorder="1" applyAlignment="1">
      <alignment vertical="center" wrapText="1"/>
    </xf>
    <xf numFmtId="44" fontId="2" fillId="6" borderId="14" xfId="1" applyNumberFormat="1" applyFont="1" applyFill="1" applyBorder="1" applyAlignment="1">
      <alignment vertical="center" wrapText="1"/>
    </xf>
    <xf numFmtId="0" fontId="3" fillId="6" borderId="1" xfId="3" applyFont="1" applyFill="1" applyBorder="1" applyAlignment="1">
      <alignment horizontal="left" vertical="center" wrapText="1"/>
    </xf>
    <xf numFmtId="0" fontId="9" fillId="0" borderId="38" xfId="0" applyFont="1" applyBorder="1" applyAlignment="1">
      <alignment vertical="center" wrapText="1"/>
    </xf>
    <xf numFmtId="0" fontId="3" fillId="0" borderId="45" xfId="3" applyFont="1" applyFill="1" applyBorder="1" applyAlignment="1">
      <alignment horizontal="center" vertical="center" wrapText="1"/>
    </xf>
    <xf numFmtId="10" fontId="3" fillId="0" borderId="47" xfId="2" applyNumberFormat="1" applyFont="1" applyFill="1" applyBorder="1" applyAlignment="1">
      <alignment vertical="center" wrapText="1"/>
    </xf>
    <xf numFmtId="9" fontId="14" fillId="3" borderId="18" xfId="2" applyFont="1" applyFill="1" applyBorder="1" applyAlignment="1">
      <alignment horizontal="center" vertical="center" wrapText="1"/>
    </xf>
    <xf numFmtId="9" fontId="14" fillId="3" borderId="41" xfId="2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1" xfId="3" applyFont="1" applyFill="1" applyBorder="1" applyAlignment="1">
      <alignment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top" wrapText="1"/>
    </xf>
    <xf numFmtId="44" fontId="14" fillId="3" borderId="42" xfId="1" applyFont="1" applyFill="1" applyBorder="1" applyAlignment="1">
      <alignment horizontal="right" wrapText="1"/>
    </xf>
    <xf numFmtId="43" fontId="2" fillId="0" borderId="0" xfId="3" applyNumberFormat="1" applyFont="1" applyFill="1" applyAlignment="1">
      <alignment vertical="center" wrapText="1"/>
    </xf>
    <xf numFmtId="44" fontId="3" fillId="6" borderId="0" xfId="1" applyFont="1" applyFill="1" applyBorder="1" applyAlignment="1">
      <alignment horizontal="right" vertical="center" wrapText="1"/>
    </xf>
    <xf numFmtId="44" fontId="3" fillId="6" borderId="0" xfId="1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3" fillId="0" borderId="8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right" vertical="center" wrapText="1"/>
    </xf>
    <xf numFmtId="0" fontId="3" fillId="0" borderId="22" xfId="3" applyFont="1" applyFill="1" applyBorder="1" applyAlignment="1">
      <alignment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left" vertical="center" wrapText="1"/>
    </xf>
    <xf numFmtId="0" fontId="3" fillId="0" borderId="22" xfId="3" applyFont="1" applyFill="1" applyBorder="1" applyAlignment="1">
      <alignment horizontal="left" vertical="center" wrapText="1"/>
    </xf>
    <xf numFmtId="0" fontId="2" fillId="0" borderId="22" xfId="3" applyFont="1" applyFill="1" applyBorder="1" applyAlignment="1">
      <alignment vertical="center" wrapText="1"/>
    </xf>
    <xf numFmtId="0" fontId="2" fillId="0" borderId="0" xfId="3" applyFont="1" applyFill="1" applyAlignment="1">
      <alignment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44" fontId="3" fillId="3" borderId="4" xfId="1" applyFont="1" applyFill="1" applyBorder="1" applyAlignment="1">
      <alignment vertical="center" wrapText="1"/>
    </xf>
    <xf numFmtId="44" fontId="3" fillId="3" borderId="6" xfId="1" applyNumberFormat="1" applyFont="1" applyFill="1" applyBorder="1" applyAlignment="1">
      <alignment vertical="center" wrapText="1"/>
    </xf>
    <xf numFmtId="44" fontId="2" fillId="0" borderId="1" xfId="1" applyFont="1" applyFill="1" applyBorder="1" applyAlignment="1">
      <alignment vertical="center" wrapText="1"/>
    </xf>
    <xf numFmtId="44" fontId="2" fillId="0" borderId="1" xfId="1" applyNumberFormat="1" applyFont="1" applyFill="1" applyBorder="1" applyAlignment="1">
      <alignment vertical="center" wrapText="1"/>
    </xf>
    <xf numFmtId="44" fontId="2" fillId="0" borderId="14" xfId="1" applyFont="1" applyFill="1" applyBorder="1" applyAlignment="1">
      <alignment vertical="center" wrapText="1"/>
    </xf>
    <xf numFmtId="44" fontId="2" fillId="0" borderId="14" xfId="1" applyNumberFormat="1" applyFont="1" applyFill="1" applyBorder="1" applyAlignment="1">
      <alignment vertical="center" wrapText="1"/>
    </xf>
    <xf numFmtId="0" fontId="3" fillId="6" borderId="0" xfId="3" applyFont="1" applyFill="1" applyBorder="1" applyAlignment="1">
      <alignment horizontal="center" vertical="center" wrapText="1"/>
    </xf>
    <xf numFmtId="44" fontId="3" fillId="7" borderId="15" xfId="1" applyFont="1" applyFill="1" applyBorder="1" applyAlignment="1">
      <alignment horizontal="right" vertical="center" wrapText="1"/>
    </xf>
    <xf numFmtId="44" fontId="3" fillId="7" borderId="6" xfId="1" applyNumberFormat="1" applyFont="1" applyFill="1" applyBorder="1" applyAlignment="1">
      <alignment vertical="center" wrapText="1"/>
    </xf>
    <xf numFmtId="44" fontId="2" fillId="6" borderId="1" xfId="1" applyFont="1" applyFill="1" applyBorder="1" applyAlignment="1">
      <alignment horizontal="right" vertical="center" wrapText="1"/>
    </xf>
    <xf numFmtId="44" fontId="2" fillId="6" borderId="22" xfId="1" applyFont="1" applyFill="1" applyBorder="1" applyAlignment="1">
      <alignment horizontal="right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22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5" borderId="11" xfId="3" applyFont="1" applyFill="1" applyBorder="1" applyAlignment="1">
      <alignment horizontal="left" vertical="center" wrapText="1"/>
    </xf>
    <xf numFmtId="0" fontId="3" fillId="5" borderId="12" xfId="3" applyFont="1" applyFill="1" applyBorder="1" applyAlignment="1">
      <alignment horizontal="left" vertical="center" wrapText="1"/>
    </xf>
    <xf numFmtId="0" fontId="3" fillId="5" borderId="13" xfId="3" applyFont="1" applyFill="1" applyBorder="1" applyAlignment="1">
      <alignment horizontal="left" vertical="center" wrapText="1"/>
    </xf>
    <xf numFmtId="44" fontId="3" fillId="7" borderId="7" xfId="1" applyFont="1" applyFill="1" applyBorder="1" applyAlignment="1">
      <alignment horizontal="right" vertical="center" wrapText="1"/>
    </xf>
    <xf numFmtId="44" fontId="3" fillId="7" borderId="8" xfId="1" applyFont="1" applyFill="1" applyBorder="1" applyAlignment="1">
      <alignment horizontal="right" vertical="center" wrapText="1"/>
    </xf>
    <xf numFmtId="44" fontId="3" fillId="7" borderId="9" xfId="1" applyFont="1" applyFill="1" applyBorder="1" applyAlignment="1">
      <alignment horizontal="right" vertical="center" wrapText="1"/>
    </xf>
    <xf numFmtId="0" fontId="3" fillId="3" borderId="5" xfId="3" applyFont="1" applyFill="1" applyBorder="1" applyAlignment="1">
      <alignment horizontal="left" vertical="center" wrapText="1"/>
    </xf>
    <xf numFmtId="0" fontId="3" fillId="3" borderId="12" xfId="3" applyFont="1" applyFill="1" applyBorder="1" applyAlignment="1">
      <alignment horizontal="left" vertical="center" wrapText="1"/>
    </xf>
    <xf numFmtId="0" fontId="3" fillId="3" borderId="3" xfId="3" applyFont="1" applyFill="1" applyBorder="1" applyAlignment="1">
      <alignment horizontal="left" vertical="center" wrapText="1"/>
    </xf>
    <xf numFmtId="0" fontId="3" fillId="4" borderId="5" xfId="3" applyFont="1" applyFill="1" applyBorder="1" applyAlignment="1">
      <alignment horizontal="left" vertical="center" wrapText="1"/>
    </xf>
    <xf numFmtId="0" fontId="3" fillId="4" borderId="12" xfId="3" applyFont="1" applyFill="1" applyBorder="1" applyAlignment="1">
      <alignment horizontal="left" vertical="center" wrapText="1"/>
    </xf>
    <xf numFmtId="0" fontId="3" fillId="4" borderId="3" xfId="3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3" fillId="5" borderId="39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44" xfId="0" applyFont="1" applyFill="1" applyBorder="1" applyAlignment="1">
      <alignment horizontal="center" vertical="top" wrapText="1"/>
    </xf>
    <xf numFmtId="0" fontId="13" fillId="3" borderId="45" xfId="0" applyFont="1" applyFill="1" applyBorder="1" applyAlignment="1">
      <alignment horizontal="center" vertical="top" wrapText="1"/>
    </xf>
    <xf numFmtId="44" fontId="14" fillId="3" borderId="15" xfId="1" applyFont="1" applyFill="1" applyBorder="1" applyAlignment="1">
      <alignment horizontal="center" wrapText="1"/>
    </xf>
    <xf numFmtId="44" fontId="14" fillId="3" borderId="6" xfId="1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 wrapText="1"/>
    </xf>
    <xf numFmtId="0" fontId="10" fillId="0" borderId="29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11" fillId="0" borderId="24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44" fontId="2" fillId="6" borderId="22" xfId="1" applyFont="1" applyFill="1" applyBorder="1" applyAlignment="1">
      <alignment vertical="center" wrapText="1"/>
    </xf>
    <xf numFmtId="44" fontId="3" fillId="6" borderId="8" xfId="1" applyFont="1" applyFill="1" applyBorder="1" applyAlignment="1">
      <alignment horizontal="right" vertical="center" wrapText="1"/>
    </xf>
  </cellXfs>
  <cellStyles count="11">
    <cellStyle name="Excel Built-in Excel Built-in Excel Built-in Excel Built-in Excel Built-in Excel Built-in Excel Built-in Separador de milhares 4" xfId="5" xr:uid="{00000000-0005-0000-0000-000000000000}"/>
    <cellStyle name="Excel Built-in Normal" xfId="6" xr:uid="{00000000-0005-0000-0000-000001000000}"/>
    <cellStyle name="Moeda" xfId="1" builtinId="4"/>
    <cellStyle name="Normal" xfId="0" builtinId="0"/>
    <cellStyle name="Normal 2" xfId="3" xr:uid="{00000000-0005-0000-0000-000004000000}"/>
    <cellStyle name="Normal 3 3" xfId="7" xr:uid="{00000000-0005-0000-0000-000005000000}"/>
    <cellStyle name="Porcentagem" xfId="2" builtinId="5"/>
    <cellStyle name="Vírgula" xfId="8" builtinId="3"/>
    <cellStyle name="Vírgula 2" xfId="4" xr:uid="{00000000-0005-0000-0000-000008000000}"/>
    <cellStyle name="Vírgula 2 2" xfId="9" xr:uid="{00000000-0005-0000-0000-000009000000}"/>
    <cellStyle name="Vírgula 3" xfId="10" xr:uid="{00000000-0005-0000-0000-00000A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0</xdr:row>
      <xdr:rowOff>47625</xdr:rowOff>
    </xdr:from>
    <xdr:to>
      <xdr:col>8</xdr:col>
      <xdr:colOff>1026823</xdr:colOff>
      <xdr:row>5</xdr:row>
      <xdr:rowOff>141235</xdr:rowOff>
    </xdr:to>
    <xdr:pic>
      <xdr:nvPicPr>
        <xdr:cNvPr id="2" name="Imagem 1" descr="campoalegre_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5" t="6369" r="22807" b="6369"/>
        <a:stretch>
          <a:fillRect/>
        </a:stretch>
      </xdr:blipFill>
      <xdr:spPr bwMode="auto">
        <a:xfrm>
          <a:off x="7705726" y="47625"/>
          <a:ext cx="931572" cy="104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1"/>
  <sheetViews>
    <sheetView tabSelected="1" view="pageBreakPreview" zoomScaleNormal="100" zoomScaleSheetLayoutView="100" workbookViewId="0">
      <selection activeCell="M11" sqref="M11"/>
    </sheetView>
  </sheetViews>
  <sheetFormatPr defaultRowHeight="12.75"/>
  <cols>
    <col min="1" max="1" width="1.5703125" style="45" customWidth="1"/>
    <col min="2" max="2" width="7.140625" style="46" bestFit="1" customWidth="1"/>
    <col min="3" max="3" width="9.140625" style="46" bestFit="1" customWidth="1"/>
    <col min="4" max="4" width="52.5703125" style="47" customWidth="1"/>
    <col min="5" max="5" width="7.28515625" style="45" bestFit="1" customWidth="1"/>
    <col min="6" max="6" width="9.28515625" style="48" bestFit="1" customWidth="1"/>
    <col min="7" max="7" width="13.28515625" style="49" bestFit="1" customWidth="1"/>
    <col min="8" max="8" width="13.85546875" style="43" customWidth="1"/>
    <col min="9" max="9" width="15.85546875" style="49" bestFit="1" customWidth="1"/>
    <col min="10" max="16384" width="9.140625" style="43"/>
  </cols>
  <sheetData>
    <row r="1" spans="1:9" ht="15" customHeight="1">
      <c r="A1" s="1"/>
      <c r="B1" s="209" t="s">
        <v>269</v>
      </c>
      <c r="C1" s="210"/>
      <c r="D1" s="210"/>
      <c r="E1" s="210"/>
      <c r="F1" s="210"/>
      <c r="G1" s="210"/>
      <c r="H1" s="211"/>
      <c r="I1" s="212"/>
    </row>
    <row r="2" spans="1:9" ht="15">
      <c r="A2" s="44"/>
      <c r="B2" s="216" t="s">
        <v>59</v>
      </c>
      <c r="C2" s="217"/>
      <c r="D2" s="217"/>
      <c r="E2" s="217"/>
      <c r="F2" s="217"/>
      <c r="G2" s="217"/>
      <c r="H2" s="218"/>
      <c r="I2" s="219"/>
    </row>
    <row r="3" spans="1:9" ht="15">
      <c r="A3" s="44"/>
      <c r="B3" s="222" t="s">
        <v>61</v>
      </c>
      <c r="C3" s="223"/>
      <c r="D3" s="217" t="s">
        <v>167</v>
      </c>
      <c r="E3" s="217"/>
      <c r="F3" s="217"/>
      <c r="G3" s="217"/>
      <c r="H3" s="217"/>
      <c r="I3" s="148"/>
    </row>
    <row r="4" spans="1:9" ht="15.75" customHeight="1" thickBot="1">
      <c r="A4" s="44"/>
      <c r="B4" s="220" t="s">
        <v>62</v>
      </c>
      <c r="C4" s="221"/>
      <c r="D4" s="224" t="s">
        <v>168</v>
      </c>
      <c r="E4" s="225"/>
      <c r="F4" s="225"/>
      <c r="G4" s="149" t="s">
        <v>60</v>
      </c>
      <c r="H4" s="150">
        <v>0.20499999999999999</v>
      </c>
    </row>
    <row r="5" spans="1:9" ht="14.25">
      <c r="A5" s="24"/>
      <c r="B5" s="44"/>
      <c r="C5" s="213" t="s">
        <v>271</v>
      </c>
      <c r="D5" s="214"/>
      <c r="E5" s="214"/>
      <c r="F5" s="214"/>
      <c r="G5" s="215"/>
      <c r="H5" s="24"/>
      <c r="I5" s="7"/>
    </row>
    <row r="6" spans="1:9" ht="13.5" thickBot="1"/>
    <row r="7" spans="1:9" ht="26.25" thickBot="1">
      <c r="A7" s="6"/>
      <c r="B7" s="8" t="s">
        <v>1</v>
      </c>
      <c r="C7" s="9" t="s">
        <v>2</v>
      </c>
      <c r="D7" s="10" t="s">
        <v>3</v>
      </c>
      <c r="E7" s="10" t="s">
        <v>4</v>
      </c>
      <c r="F7" s="11" t="s">
        <v>5</v>
      </c>
      <c r="G7" s="12" t="s">
        <v>58</v>
      </c>
      <c r="H7" s="13" t="s">
        <v>57</v>
      </c>
      <c r="I7" s="14" t="s">
        <v>56</v>
      </c>
    </row>
    <row r="8" spans="1:9" s="175" customFormat="1" ht="13.5" thickBot="1">
      <c r="A8" s="162"/>
      <c r="B8" s="185"/>
      <c r="C8" s="185"/>
      <c r="D8" s="185"/>
      <c r="E8" s="185"/>
      <c r="F8" s="185"/>
      <c r="G8" s="185"/>
      <c r="H8" s="185"/>
      <c r="I8" s="185"/>
    </row>
    <row r="9" spans="1:9" ht="24" customHeight="1" thickBot="1">
      <c r="A9" s="3"/>
      <c r="B9" s="197" t="s">
        <v>265</v>
      </c>
      <c r="C9" s="198"/>
      <c r="D9" s="198"/>
      <c r="E9" s="198"/>
      <c r="F9" s="198"/>
      <c r="G9" s="198"/>
      <c r="H9" s="198"/>
      <c r="I9" s="199"/>
    </row>
    <row r="10" spans="1:9" ht="13.5" thickBot="1">
      <c r="A10" s="3"/>
      <c r="B10" s="71"/>
      <c r="C10" s="71"/>
      <c r="D10" s="71"/>
      <c r="E10" s="71"/>
      <c r="F10" s="71"/>
      <c r="G10" s="71"/>
      <c r="H10" s="71"/>
      <c r="I10" s="71"/>
    </row>
    <row r="11" spans="1:9" ht="13.5" thickBot="1">
      <c r="A11" s="3"/>
      <c r="B11" s="50">
        <v>1</v>
      </c>
      <c r="C11" s="51"/>
      <c r="D11" s="52" t="s">
        <v>6</v>
      </c>
      <c r="E11" s="52"/>
      <c r="F11" s="53"/>
      <c r="G11" s="54"/>
      <c r="H11" s="52"/>
      <c r="I11" s="55">
        <f>I14</f>
        <v>837.85003215000006</v>
      </c>
    </row>
    <row r="12" spans="1:9">
      <c r="A12" s="3"/>
      <c r="B12" s="32" t="s">
        <v>7</v>
      </c>
      <c r="C12" s="32" t="s">
        <v>8</v>
      </c>
      <c r="D12" s="33" t="s">
        <v>245</v>
      </c>
      <c r="E12" s="32" t="s">
        <v>9</v>
      </c>
      <c r="F12" s="97">
        <v>1.5</v>
      </c>
      <c r="G12" s="57">
        <v>320</v>
      </c>
      <c r="H12" s="58">
        <f t="shared" ref="H12:H13" si="0">G12*$H$4+G12</f>
        <v>385.6</v>
      </c>
      <c r="I12" s="59">
        <f t="shared" ref="I12:I13" si="1">F12*H12</f>
        <v>578.40000000000009</v>
      </c>
    </row>
    <row r="13" spans="1:9" ht="26.25" thickBot="1">
      <c r="A13" s="3"/>
      <c r="B13" s="32" t="s">
        <v>104</v>
      </c>
      <c r="C13" s="19">
        <v>97622</v>
      </c>
      <c r="D13" s="15" t="s">
        <v>87</v>
      </c>
      <c r="E13" s="19" t="s">
        <v>12</v>
      </c>
      <c r="F13" s="96">
        <f>(4.7+2.55)*0.15*3+0.8*2.1*0.15*3</f>
        <v>4.0184999999999995</v>
      </c>
      <c r="G13" s="188">
        <v>53.58</v>
      </c>
      <c r="H13" s="58">
        <f t="shared" si="0"/>
        <v>64.56389999999999</v>
      </c>
      <c r="I13" s="59">
        <f t="shared" si="1"/>
        <v>259.45003214999991</v>
      </c>
    </row>
    <row r="14" spans="1:9" ht="13.5" thickBot="1">
      <c r="A14" s="3"/>
      <c r="B14" s="16"/>
      <c r="C14" s="17"/>
      <c r="D14" s="17"/>
      <c r="E14" s="17"/>
      <c r="F14" s="17"/>
      <c r="G14" s="26"/>
      <c r="H14" s="83" t="s">
        <v>11</v>
      </c>
      <c r="I14" s="84">
        <f>SUM(I12:I13)</f>
        <v>837.85003215000006</v>
      </c>
    </row>
    <row r="15" spans="1:9" s="175" customFormat="1" ht="13.5" thickBot="1">
      <c r="A15" s="162"/>
      <c r="B15" s="168"/>
      <c r="C15" s="168"/>
      <c r="D15" s="168"/>
      <c r="E15" s="168"/>
      <c r="F15" s="168"/>
      <c r="G15" s="169"/>
      <c r="H15" s="160"/>
      <c r="I15" s="161"/>
    </row>
    <row r="16" spans="1:9" s="175" customFormat="1" ht="13.5" thickBot="1">
      <c r="A16" s="162"/>
      <c r="B16" s="176">
        <v>11</v>
      </c>
      <c r="C16" s="177"/>
      <c r="D16" s="178" t="s">
        <v>267</v>
      </c>
      <c r="E16" s="178"/>
      <c r="F16" s="53"/>
      <c r="G16" s="179"/>
      <c r="H16" s="178"/>
      <c r="I16" s="180">
        <f>I45</f>
        <v>47626.737776334005</v>
      </c>
    </row>
    <row r="17" spans="1:9" s="175" customFormat="1">
      <c r="A17" s="162"/>
      <c r="B17" s="167" t="s">
        <v>181</v>
      </c>
      <c r="C17" s="143"/>
      <c r="D17" s="20" t="s">
        <v>188</v>
      </c>
      <c r="E17" s="143"/>
      <c r="F17" s="96"/>
      <c r="G17" s="188"/>
      <c r="H17" s="144"/>
      <c r="I17" s="182"/>
    </row>
    <row r="18" spans="1:9" s="175" customFormat="1" ht="38.25">
      <c r="A18" s="162"/>
      <c r="B18" s="142" t="s">
        <v>182</v>
      </c>
      <c r="C18" s="171">
        <v>101173</v>
      </c>
      <c r="D18" s="174" t="s">
        <v>66</v>
      </c>
      <c r="E18" s="171" t="s">
        <v>10</v>
      </c>
      <c r="F18" s="141">
        <f>15*3</f>
        <v>45</v>
      </c>
      <c r="G18" s="189">
        <v>60.55</v>
      </c>
      <c r="H18" s="183">
        <f>G18*$H$4+G18</f>
        <v>72.96275</v>
      </c>
      <c r="I18" s="184">
        <f>F18*H18</f>
        <v>3283.32375</v>
      </c>
    </row>
    <row r="19" spans="1:9" s="175" customFormat="1">
      <c r="A19" s="162"/>
      <c r="B19" s="142"/>
      <c r="C19" s="171"/>
      <c r="D19" s="170" t="s">
        <v>187</v>
      </c>
      <c r="E19" s="171"/>
      <c r="F19" s="141"/>
      <c r="G19" s="189"/>
      <c r="H19" s="183"/>
      <c r="I19" s="184"/>
    </row>
    <row r="20" spans="1:9" s="175" customFormat="1" ht="25.5">
      <c r="A20" s="162"/>
      <c r="B20" s="142" t="s">
        <v>183</v>
      </c>
      <c r="C20" s="166">
        <v>96617</v>
      </c>
      <c r="D20" s="163" t="s">
        <v>63</v>
      </c>
      <c r="E20" s="166" t="s">
        <v>13</v>
      </c>
      <c r="F20" s="96">
        <f>30*0.5*0.03</f>
        <v>0.44999999999999996</v>
      </c>
      <c r="G20" s="188">
        <v>17.43</v>
      </c>
      <c r="H20" s="183">
        <f>G20*$H$4+G20</f>
        <v>21.003149999999998</v>
      </c>
      <c r="I20" s="184">
        <f t="shared" ref="I20:I22" si="2">F20*H20</f>
        <v>9.451417499999998</v>
      </c>
    </row>
    <row r="21" spans="1:9" s="175" customFormat="1" ht="38.25">
      <c r="A21" s="162"/>
      <c r="B21" s="142" t="s">
        <v>184</v>
      </c>
      <c r="C21" s="166">
        <v>96536</v>
      </c>
      <c r="D21" s="163" t="s">
        <v>65</v>
      </c>
      <c r="E21" s="166" t="s">
        <v>13</v>
      </c>
      <c r="F21" s="96">
        <f>30*2*0.2</f>
        <v>12</v>
      </c>
      <c r="G21" s="188">
        <v>64.69</v>
      </c>
      <c r="H21" s="183">
        <f>G21*$H$4+G21</f>
        <v>77.951449999999994</v>
      </c>
      <c r="I21" s="184">
        <f t="shared" si="2"/>
        <v>935.41739999999993</v>
      </c>
    </row>
    <row r="22" spans="1:9" s="175" customFormat="1" ht="38.25">
      <c r="A22" s="162"/>
      <c r="B22" s="142" t="s">
        <v>185</v>
      </c>
      <c r="C22" s="166">
        <v>92775</v>
      </c>
      <c r="D22" s="163" t="s">
        <v>67</v>
      </c>
      <c r="E22" s="166" t="s">
        <v>14</v>
      </c>
      <c r="F22" s="96">
        <f>((0.15*2+0.45*2)*(30/0.15))*0.154</f>
        <v>36.96</v>
      </c>
      <c r="G22" s="188">
        <v>20.6</v>
      </c>
      <c r="H22" s="183">
        <f>G22*$H$4+G22</f>
        <v>24.823</v>
      </c>
      <c r="I22" s="184">
        <f t="shared" si="2"/>
        <v>917.45808</v>
      </c>
    </row>
    <row r="23" spans="1:9" s="175" customFormat="1" ht="38.25">
      <c r="A23" s="162"/>
      <c r="B23" s="142" t="s">
        <v>246</v>
      </c>
      <c r="C23" s="166">
        <v>92777</v>
      </c>
      <c r="D23" s="163" t="s">
        <v>68</v>
      </c>
      <c r="E23" s="166" t="s">
        <v>14</v>
      </c>
      <c r="F23" s="96">
        <f>30*6*0.395*1.1</f>
        <v>78.210000000000022</v>
      </c>
      <c r="G23" s="188">
        <v>17.7</v>
      </c>
      <c r="H23" s="181">
        <f>G23*$H$4+G23</f>
        <v>21.328499999999998</v>
      </c>
      <c r="I23" s="182">
        <f>F23*H23</f>
        <v>1668.1019850000002</v>
      </c>
    </row>
    <row r="24" spans="1:9" s="175" customFormat="1" ht="38.25">
      <c r="A24" s="162"/>
      <c r="B24" s="142" t="s">
        <v>247</v>
      </c>
      <c r="C24" s="166">
        <v>94971</v>
      </c>
      <c r="D24" s="163" t="s">
        <v>64</v>
      </c>
      <c r="E24" s="166" t="s">
        <v>12</v>
      </c>
      <c r="F24" s="96">
        <f>30*0.5*0.2</f>
        <v>3</v>
      </c>
      <c r="G24" s="188">
        <v>422.67</v>
      </c>
      <c r="H24" s="183">
        <f>G24*$H$4+G24</f>
        <v>509.31735000000003</v>
      </c>
      <c r="I24" s="184">
        <f t="shared" ref="I24" si="3">F24*H24</f>
        <v>1527.9520500000001</v>
      </c>
    </row>
    <row r="25" spans="1:9" s="175" customFormat="1">
      <c r="A25" s="162"/>
      <c r="B25" s="142"/>
      <c r="C25" s="190"/>
      <c r="D25" s="147" t="s">
        <v>190</v>
      </c>
      <c r="E25" s="190"/>
      <c r="F25" s="96"/>
      <c r="G25" s="188"/>
      <c r="H25" s="145"/>
      <c r="I25" s="146"/>
    </row>
    <row r="26" spans="1:9" s="175" customFormat="1" ht="38.25">
      <c r="A26" s="162"/>
      <c r="B26" s="142" t="s">
        <v>248</v>
      </c>
      <c r="C26" s="166">
        <v>96536</v>
      </c>
      <c r="D26" s="163" t="s">
        <v>65</v>
      </c>
      <c r="E26" s="166" t="s">
        <v>13</v>
      </c>
      <c r="F26" s="96">
        <f>12*0.25*(2.88+0.99)*2</f>
        <v>23.22</v>
      </c>
      <c r="G26" s="188">
        <v>64.69</v>
      </c>
      <c r="H26" s="183">
        <f t="shared" ref="H26:H33" si="4">G26*$H$4+G26</f>
        <v>77.951449999999994</v>
      </c>
      <c r="I26" s="184">
        <f t="shared" ref="I26:I27" si="5">F26*H26</f>
        <v>1810.0326689999997</v>
      </c>
    </row>
    <row r="27" spans="1:9" s="175" customFormat="1" ht="38.25">
      <c r="A27" s="162"/>
      <c r="B27" s="142" t="s">
        <v>249</v>
      </c>
      <c r="C27" s="166">
        <v>92775</v>
      </c>
      <c r="D27" s="163" t="s">
        <v>67</v>
      </c>
      <c r="E27" s="166" t="s">
        <v>14</v>
      </c>
      <c r="F27" s="96">
        <f>(12*(((2.88+0.99)/0.15)*(0.2*2+0.09*2))+((0.25*2+0.09*2)*(30/0.2))+((0.15*2+0.09*2)*(30/0.2))+((0.05*2+0.07*2)*(30/0.2)))*0.154*1.1</f>
        <v>65.992819200000014</v>
      </c>
      <c r="G27" s="188">
        <v>20.6</v>
      </c>
      <c r="H27" s="183">
        <f t="shared" si="4"/>
        <v>24.823</v>
      </c>
      <c r="I27" s="184">
        <f t="shared" si="5"/>
        <v>1638.1397510016004</v>
      </c>
    </row>
    <row r="28" spans="1:9" s="175" customFormat="1" ht="38.25">
      <c r="A28" s="162"/>
      <c r="B28" s="142" t="s">
        <v>250</v>
      </c>
      <c r="C28" s="166">
        <v>92777</v>
      </c>
      <c r="D28" s="163" t="s">
        <v>68</v>
      </c>
      <c r="E28" s="166" t="s">
        <v>14</v>
      </c>
      <c r="F28" s="96">
        <f>6*(30*4*0.395)*1.1</f>
        <v>312.84000000000009</v>
      </c>
      <c r="G28" s="188">
        <v>17.7</v>
      </c>
      <c r="H28" s="181">
        <f t="shared" si="4"/>
        <v>21.328499999999998</v>
      </c>
      <c r="I28" s="182">
        <f>F28*H28</f>
        <v>6672.407940000001</v>
      </c>
    </row>
    <row r="29" spans="1:9" s="175" customFormat="1" ht="38.25">
      <c r="A29" s="162"/>
      <c r="B29" s="142" t="s">
        <v>251</v>
      </c>
      <c r="C29" s="166">
        <v>92778</v>
      </c>
      <c r="D29" s="163" t="s">
        <v>69</v>
      </c>
      <c r="E29" s="166" t="s">
        <v>14</v>
      </c>
      <c r="F29" s="96">
        <f>12*4*(2.88+0.99)*0.617*1.1</f>
        <v>126.075312</v>
      </c>
      <c r="G29" s="188">
        <v>15.69</v>
      </c>
      <c r="H29" s="183">
        <f t="shared" si="4"/>
        <v>18.90645</v>
      </c>
      <c r="I29" s="184">
        <f t="shared" ref="I29:I33" si="6">F29*H29</f>
        <v>2383.6365825623998</v>
      </c>
    </row>
    <row r="30" spans="1:9" s="175" customFormat="1" ht="38.25">
      <c r="A30" s="162"/>
      <c r="B30" s="142" t="s">
        <v>252</v>
      </c>
      <c r="C30" s="166">
        <v>94971</v>
      </c>
      <c r="D30" s="163" t="s">
        <v>64</v>
      </c>
      <c r="E30" s="166" t="s">
        <v>12</v>
      </c>
      <c r="F30" s="96">
        <f>12*((2.88+0.99)*0.25*0.14)+30*0.14*0.3+30*0.14*0.2</f>
        <v>3.7254000000000005</v>
      </c>
      <c r="G30" s="188">
        <v>422.67</v>
      </c>
      <c r="H30" s="183">
        <f t="shared" si="4"/>
        <v>509.31735000000003</v>
      </c>
      <c r="I30" s="184">
        <f t="shared" si="6"/>
        <v>1897.4108556900003</v>
      </c>
    </row>
    <row r="31" spans="1:9" s="175" customFormat="1" ht="51">
      <c r="A31" s="162"/>
      <c r="B31" s="142" t="s">
        <v>253</v>
      </c>
      <c r="C31" s="171">
        <v>87449</v>
      </c>
      <c r="D31" s="172" t="s">
        <v>186</v>
      </c>
      <c r="E31" s="171" t="s">
        <v>103</v>
      </c>
      <c r="F31" s="97">
        <f>30*3</f>
        <v>90</v>
      </c>
      <c r="G31" s="189">
        <v>90.83</v>
      </c>
      <c r="H31" s="183">
        <f t="shared" si="4"/>
        <v>109.45014999999999</v>
      </c>
      <c r="I31" s="184">
        <f t="shared" si="6"/>
        <v>9850.5134999999991</v>
      </c>
    </row>
    <row r="32" spans="1:9" s="175" customFormat="1" ht="63.75">
      <c r="A32" s="162"/>
      <c r="B32" s="142" t="s">
        <v>255</v>
      </c>
      <c r="C32" s="171">
        <v>87561</v>
      </c>
      <c r="D32" s="172" t="s">
        <v>192</v>
      </c>
      <c r="E32" s="171" t="s">
        <v>13</v>
      </c>
      <c r="F32" s="97">
        <f>3*30</f>
        <v>90</v>
      </c>
      <c r="G32" s="189">
        <v>30.16</v>
      </c>
      <c r="H32" s="183">
        <f t="shared" si="4"/>
        <v>36.342799999999997</v>
      </c>
      <c r="I32" s="184">
        <f t="shared" si="6"/>
        <v>3270.8519999999999</v>
      </c>
    </row>
    <row r="33" spans="1:9" s="175" customFormat="1" ht="25.5">
      <c r="A33" s="162"/>
      <c r="B33" s="142" t="s">
        <v>256</v>
      </c>
      <c r="C33" s="171">
        <v>98554</v>
      </c>
      <c r="D33" s="172" t="s">
        <v>70</v>
      </c>
      <c r="E33" s="171" t="s">
        <v>13</v>
      </c>
      <c r="F33" s="97">
        <f>30*3</f>
        <v>90</v>
      </c>
      <c r="G33" s="189">
        <v>42.73</v>
      </c>
      <c r="H33" s="183">
        <f t="shared" si="4"/>
        <v>51.489649999999997</v>
      </c>
      <c r="I33" s="184">
        <f t="shared" si="6"/>
        <v>4634.0684999999994</v>
      </c>
    </row>
    <row r="34" spans="1:9" s="175" customFormat="1">
      <c r="A34" s="162"/>
      <c r="B34" s="142"/>
      <c r="C34" s="171"/>
      <c r="D34" s="147" t="s">
        <v>263</v>
      </c>
      <c r="E34" s="171"/>
      <c r="F34" s="97"/>
      <c r="G34" s="189"/>
      <c r="H34" s="183"/>
      <c r="I34" s="184"/>
    </row>
    <row r="35" spans="1:9" s="175" customFormat="1" ht="51">
      <c r="A35" s="162"/>
      <c r="B35" s="142" t="s">
        <v>254</v>
      </c>
      <c r="C35" s="171">
        <v>87447</v>
      </c>
      <c r="D35" s="172" t="s">
        <v>264</v>
      </c>
      <c r="E35" s="171" t="s">
        <v>103</v>
      </c>
      <c r="F35" s="97">
        <f>30*0.99</f>
        <v>29.7</v>
      </c>
      <c r="G35" s="189">
        <v>69.22</v>
      </c>
      <c r="H35" s="183">
        <f>G35*$H$4+G35</f>
        <v>83.4101</v>
      </c>
      <c r="I35" s="184">
        <f t="shared" ref="I35:I37" si="7">F35*H35</f>
        <v>2477.27997</v>
      </c>
    </row>
    <row r="36" spans="1:9" s="175" customFormat="1" ht="38.25">
      <c r="A36" s="162"/>
      <c r="B36" s="142" t="s">
        <v>252</v>
      </c>
      <c r="C36" s="166">
        <v>94971</v>
      </c>
      <c r="D36" s="163" t="s">
        <v>64</v>
      </c>
      <c r="E36" s="166" t="s">
        <v>12</v>
      </c>
      <c r="F36" s="96">
        <f>30*0.09*0.11</f>
        <v>0.29699999999999999</v>
      </c>
      <c r="G36" s="188">
        <v>422.67</v>
      </c>
      <c r="H36" s="183">
        <f t="shared" ref="H36:H37" si="8">G36*$H$4+G36</f>
        <v>509.31735000000003</v>
      </c>
      <c r="I36" s="184">
        <f t="shared" si="7"/>
        <v>151.26725295</v>
      </c>
    </row>
    <row r="37" spans="1:9" s="175" customFormat="1">
      <c r="A37" s="162"/>
      <c r="B37" s="142" t="s">
        <v>253</v>
      </c>
      <c r="C37" s="171"/>
      <c r="D37" s="191" t="s">
        <v>266</v>
      </c>
      <c r="E37" s="171" t="s">
        <v>10</v>
      </c>
      <c r="F37" s="97">
        <v>30</v>
      </c>
      <c r="G37" s="189">
        <v>20</v>
      </c>
      <c r="H37" s="183">
        <f t="shared" si="8"/>
        <v>24.1</v>
      </c>
      <c r="I37" s="184">
        <f t="shared" si="7"/>
        <v>723</v>
      </c>
    </row>
    <row r="38" spans="1:9" s="175" customFormat="1">
      <c r="A38" s="162"/>
      <c r="B38" s="142"/>
      <c r="C38" s="166"/>
      <c r="D38" s="20" t="s">
        <v>191</v>
      </c>
      <c r="E38" s="166"/>
      <c r="F38" s="96"/>
      <c r="G38" s="188"/>
      <c r="H38" s="183"/>
      <c r="I38" s="184"/>
    </row>
    <row r="39" spans="1:9" s="175" customFormat="1" ht="38.25">
      <c r="A39" s="162"/>
      <c r="B39" s="142" t="s">
        <v>257</v>
      </c>
      <c r="C39" s="166">
        <v>96536</v>
      </c>
      <c r="D39" s="163" t="s">
        <v>65</v>
      </c>
      <c r="E39" s="166" t="s">
        <v>13</v>
      </c>
      <c r="F39" s="96">
        <f>12*(0.15*1.5)*2</f>
        <v>5.3999999999999995</v>
      </c>
      <c r="G39" s="188">
        <v>64.69</v>
      </c>
      <c r="H39" s="183">
        <f>G39*$H$4+G39</f>
        <v>77.951449999999994</v>
      </c>
      <c r="I39" s="184">
        <f t="shared" ref="I39:I42" si="9">F39*H39</f>
        <v>420.93782999999991</v>
      </c>
    </row>
    <row r="40" spans="1:9" s="175" customFormat="1" ht="38.25">
      <c r="A40" s="162"/>
      <c r="B40" s="142" t="s">
        <v>258</v>
      </c>
      <c r="C40" s="166">
        <v>92775</v>
      </c>
      <c r="D40" s="163" t="s">
        <v>67</v>
      </c>
      <c r="E40" s="166" t="s">
        <v>14</v>
      </c>
      <c r="F40" s="96">
        <f>12*(((0.1*4)*(1.5/0.15))*0.154)*1.1</f>
        <v>8.1311999999999998</v>
      </c>
      <c r="G40" s="188">
        <v>20.6</v>
      </c>
      <c r="H40" s="183">
        <f>G40*$H$4+G40</f>
        <v>24.823</v>
      </c>
      <c r="I40" s="184">
        <f t="shared" si="9"/>
        <v>201.8407776</v>
      </c>
    </row>
    <row r="41" spans="1:9" s="175" customFormat="1" ht="38.25">
      <c r="A41" s="162"/>
      <c r="B41" s="142" t="s">
        <v>259</v>
      </c>
      <c r="C41" s="166">
        <v>92778</v>
      </c>
      <c r="D41" s="163" t="s">
        <v>69</v>
      </c>
      <c r="E41" s="166" t="s">
        <v>14</v>
      </c>
      <c r="F41" s="96">
        <f>12*(1.5*4)*0.617*1.1</f>
        <v>48.866400000000006</v>
      </c>
      <c r="G41" s="188">
        <v>15.69</v>
      </c>
      <c r="H41" s="183">
        <f>G41*$H$4+G41</f>
        <v>18.90645</v>
      </c>
      <c r="I41" s="184">
        <f t="shared" si="9"/>
        <v>923.89014828000006</v>
      </c>
    </row>
    <row r="42" spans="1:9" s="175" customFormat="1" ht="38.25">
      <c r="A42" s="162"/>
      <c r="B42" s="142" t="s">
        <v>260</v>
      </c>
      <c r="C42" s="166">
        <v>94971</v>
      </c>
      <c r="D42" s="163" t="s">
        <v>64</v>
      </c>
      <c r="E42" s="166" t="s">
        <v>12</v>
      </c>
      <c r="F42" s="96">
        <f>12*(0.15*0.15*1.5)</f>
        <v>0.40500000000000003</v>
      </c>
      <c r="G42" s="188">
        <v>422.67</v>
      </c>
      <c r="H42" s="183">
        <f>G42*$H$4+G42</f>
        <v>509.31735000000003</v>
      </c>
      <c r="I42" s="184">
        <f t="shared" si="9"/>
        <v>206.27352675000003</v>
      </c>
    </row>
    <row r="43" spans="1:9" s="175" customFormat="1">
      <c r="A43" s="162"/>
      <c r="B43" s="142"/>
      <c r="C43" s="171"/>
      <c r="D43" s="173" t="s">
        <v>189</v>
      </c>
      <c r="E43" s="171"/>
      <c r="F43" s="97"/>
      <c r="G43" s="189"/>
      <c r="H43" s="183"/>
      <c r="I43" s="184"/>
    </row>
    <row r="44" spans="1:9" s="175" customFormat="1" ht="39" thickBot="1">
      <c r="A44" s="162"/>
      <c r="B44" s="142" t="s">
        <v>261</v>
      </c>
      <c r="C44" s="171">
        <v>94991</v>
      </c>
      <c r="D44" s="172" t="s">
        <v>91</v>
      </c>
      <c r="E44" s="171" t="s">
        <v>74</v>
      </c>
      <c r="F44" s="97">
        <f>30*1.5*0.06</f>
        <v>2.6999999999999997</v>
      </c>
      <c r="G44" s="189">
        <v>621.94000000000005</v>
      </c>
      <c r="H44" s="183">
        <f>G44*$H$4+G44</f>
        <v>749.43770000000006</v>
      </c>
      <c r="I44" s="184">
        <f t="shared" ref="I44" si="10">F44*H44</f>
        <v>2023.48179</v>
      </c>
    </row>
    <row r="45" spans="1:9" s="175" customFormat="1" ht="13.5" thickBot="1">
      <c r="A45" s="162"/>
      <c r="B45" s="142"/>
      <c r="C45" s="165"/>
      <c r="D45" s="164"/>
      <c r="E45" s="165"/>
      <c r="F45" s="165"/>
      <c r="G45" s="164"/>
      <c r="H45" s="186" t="s">
        <v>11</v>
      </c>
      <c r="I45" s="187">
        <f>SUM(I17:I44)</f>
        <v>47626.737776334005</v>
      </c>
    </row>
    <row r="46" spans="1:9" ht="13.5" thickBot="1">
      <c r="A46" s="3"/>
      <c r="B46" s="71"/>
      <c r="C46" s="71"/>
      <c r="D46" s="71"/>
      <c r="E46" s="71"/>
      <c r="F46" s="71"/>
      <c r="G46" s="71"/>
      <c r="H46" s="71"/>
      <c r="I46" s="71"/>
    </row>
    <row r="47" spans="1:9" ht="13.5" thickBot="1">
      <c r="A47" s="3"/>
      <c r="B47" s="50">
        <v>12</v>
      </c>
      <c r="C47" s="51"/>
      <c r="D47" s="203" t="s">
        <v>15</v>
      </c>
      <c r="E47" s="204"/>
      <c r="F47" s="204"/>
      <c r="G47" s="205"/>
      <c r="H47" s="52"/>
      <c r="I47" s="55">
        <f>I50</f>
        <v>462.21390000000002</v>
      </c>
    </row>
    <row r="48" spans="1:9">
      <c r="A48" s="3"/>
      <c r="B48" s="34" t="s">
        <v>27</v>
      </c>
      <c r="C48" s="34"/>
      <c r="D48" s="35" t="s">
        <v>16</v>
      </c>
      <c r="E48" s="32"/>
      <c r="F48" s="56"/>
      <c r="G48" s="57"/>
      <c r="H48" s="66"/>
      <c r="I48" s="59"/>
    </row>
    <row r="49" spans="1:9" ht="64.5" thickBot="1">
      <c r="A49" s="3"/>
      <c r="B49" s="19" t="s">
        <v>105</v>
      </c>
      <c r="C49" s="19">
        <v>87477</v>
      </c>
      <c r="D49" s="153" t="s">
        <v>73</v>
      </c>
      <c r="E49" s="100" t="s">
        <v>13</v>
      </c>
      <c r="F49" s="96">
        <v>6</v>
      </c>
      <c r="G49" s="188">
        <v>63.93</v>
      </c>
      <c r="H49" s="61">
        <f t="shared" ref="H49" si="11">G49*$H$4+G49</f>
        <v>77.035650000000004</v>
      </c>
      <c r="I49" s="62">
        <f>F49*H49</f>
        <v>462.21390000000002</v>
      </c>
    </row>
    <row r="50" spans="1:9" ht="13.5" thickBot="1">
      <c r="A50" s="3"/>
      <c r="B50" s="28"/>
      <c r="C50" s="29"/>
      <c r="D50" s="29"/>
      <c r="E50" s="29"/>
      <c r="F50" s="29"/>
      <c r="G50" s="30"/>
      <c r="H50" s="83" t="s">
        <v>11</v>
      </c>
      <c r="I50" s="84">
        <f>SUM(I48:I49)</f>
        <v>462.21390000000002</v>
      </c>
    </row>
    <row r="51" spans="1:9" ht="13.5" thickBot="1">
      <c r="A51" s="3"/>
      <c r="B51" s="71"/>
      <c r="C51" s="71"/>
      <c r="D51" s="71"/>
      <c r="E51" s="71"/>
      <c r="F51" s="71"/>
      <c r="G51" s="71"/>
      <c r="H51" s="71"/>
      <c r="I51" s="71"/>
    </row>
    <row r="52" spans="1:9" ht="13.5" thickBot="1">
      <c r="A52" s="3"/>
      <c r="B52" s="50">
        <v>13</v>
      </c>
      <c r="C52" s="51"/>
      <c r="D52" s="52" t="s">
        <v>21</v>
      </c>
      <c r="E52" s="52"/>
      <c r="F52" s="68"/>
      <c r="G52" s="54"/>
      <c r="H52" s="52"/>
      <c r="I52" s="55">
        <f>I55</f>
        <v>607.46460000000002</v>
      </c>
    </row>
    <row r="53" spans="1:9" ht="38.25">
      <c r="A53" s="3"/>
      <c r="B53" s="32" t="s">
        <v>76</v>
      </c>
      <c r="C53" s="32">
        <v>87878</v>
      </c>
      <c r="D53" s="33" t="s">
        <v>71</v>
      </c>
      <c r="E53" s="32" t="s">
        <v>13</v>
      </c>
      <c r="F53" s="97">
        <v>12</v>
      </c>
      <c r="G53" s="189">
        <v>4.47</v>
      </c>
      <c r="H53" s="58">
        <f>G53*$H$4+G53</f>
        <v>5.3863499999999993</v>
      </c>
      <c r="I53" s="59">
        <f>F53*H53</f>
        <v>64.636199999999988</v>
      </c>
    </row>
    <row r="54" spans="1:9" ht="51.75" thickBot="1">
      <c r="A54" s="3"/>
      <c r="B54" s="32" t="s">
        <v>77</v>
      </c>
      <c r="C54" s="193">
        <v>87530</v>
      </c>
      <c r="D54" s="192" t="s">
        <v>72</v>
      </c>
      <c r="E54" s="19" t="s">
        <v>13</v>
      </c>
      <c r="F54" s="96">
        <f>F53</f>
        <v>12</v>
      </c>
      <c r="G54" s="188">
        <v>37.54</v>
      </c>
      <c r="H54" s="61">
        <f>G54*$H$4+G54</f>
        <v>45.235700000000001</v>
      </c>
      <c r="I54" s="62">
        <f t="shared" ref="I54" si="12">F54*H54</f>
        <v>542.82839999999999</v>
      </c>
    </row>
    <row r="55" spans="1:9" ht="13.5" thickBot="1">
      <c r="A55" s="3"/>
      <c r="B55" s="16"/>
      <c r="C55" s="17"/>
      <c r="D55" s="17"/>
      <c r="E55" s="17"/>
      <c r="F55" s="17"/>
      <c r="G55" s="26"/>
      <c r="H55" s="83" t="s">
        <v>11</v>
      </c>
      <c r="I55" s="84">
        <f>SUM(I53:I54)</f>
        <v>607.46460000000002</v>
      </c>
    </row>
    <row r="56" spans="1:9" ht="13.5" thickBot="1">
      <c r="A56" s="3"/>
      <c r="B56" s="3"/>
      <c r="C56" s="3"/>
      <c r="D56" s="2"/>
      <c r="E56" s="3"/>
      <c r="F56" s="4"/>
      <c r="G56" s="5"/>
      <c r="H56" s="6"/>
      <c r="I56" s="65"/>
    </row>
    <row r="57" spans="1:9" ht="13.5" thickBot="1">
      <c r="A57" s="3"/>
      <c r="B57" s="50">
        <v>14</v>
      </c>
      <c r="C57" s="51"/>
      <c r="D57" s="203" t="s">
        <v>22</v>
      </c>
      <c r="E57" s="204"/>
      <c r="F57" s="205"/>
      <c r="G57" s="54"/>
      <c r="H57" s="52"/>
      <c r="I57" s="55">
        <f>I61</f>
        <v>26496.882095259996</v>
      </c>
    </row>
    <row r="58" spans="1:9" ht="38.25">
      <c r="A58" s="3"/>
      <c r="B58" s="32" t="s">
        <v>106</v>
      </c>
      <c r="C58" s="32">
        <v>94991</v>
      </c>
      <c r="D58" s="33" t="s">
        <v>91</v>
      </c>
      <c r="E58" s="32" t="s">
        <v>74</v>
      </c>
      <c r="F58" s="97">
        <f>179.23*0.06</f>
        <v>10.753799999999998</v>
      </c>
      <c r="G58" s="189">
        <v>621.94000000000005</v>
      </c>
      <c r="H58" s="58">
        <f t="shared" ref="H58:H60" si="13">G58*$H$4+G58</f>
        <v>749.43770000000006</v>
      </c>
      <c r="I58" s="59">
        <f>F58*H58</f>
        <v>8059.3031382599993</v>
      </c>
    </row>
    <row r="59" spans="1:9" ht="25.5">
      <c r="A59" s="3"/>
      <c r="B59" s="32" t="s">
        <v>107</v>
      </c>
      <c r="C59" s="19">
        <v>101752</v>
      </c>
      <c r="D59" s="15" t="s">
        <v>90</v>
      </c>
      <c r="E59" s="19" t="s">
        <v>13</v>
      </c>
      <c r="F59" s="96">
        <v>210.16</v>
      </c>
      <c r="G59" s="188">
        <v>70</v>
      </c>
      <c r="H59" s="61">
        <f t="shared" si="13"/>
        <v>84.35</v>
      </c>
      <c r="I59" s="62">
        <f t="shared" ref="I59" si="14">F59*H59</f>
        <v>17726.995999999999</v>
      </c>
    </row>
    <row r="60" spans="1:9" ht="39" thickBot="1">
      <c r="A60" s="3"/>
      <c r="B60" s="32" t="s">
        <v>108</v>
      </c>
      <c r="C60" s="19">
        <v>87257</v>
      </c>
      <c r="D60" s="15" t="s">
        <v>86</v>
      </c>
      <c r="E60" s="19" t="s">
        <v>13</v>
      </c>
      <c r="F60" s="96">
        <f>3.4+3.75+2.16</f>
        <v>9.31</v>
      </c>
      <c r="G60" s="188">
        <v>63.34</v>
      </c>
      <c r="H60" s="61">
        <f t="shared" si="13"/>
        <v>76.324700000000007</v>
      </c>
      <c r="I60" s="62">
        <f t="shared" ref="I60" si="15">F60*H60</f>
        <v>710.58295700000008</v>
      </c>
    </row>
    <row r="61" spans="1:9" ht="13.5" thickBot="1">
      <c r="A61" s="3"/>
      <c r="B61" s="16"/>
      <c r="C61" s="17"/>
      <c r="D61" s="17"/>
      <c r="E61" s="17"/>
      <c r="F61" s="17"/>
      <c r="G61" s="26"/>
      <c r="H61" s="83" t="s">
        <v>11</v>
      </c>
      <c r="I61" s="84">
        <f>SUM(I58:I60)</f>
        <v>26496.882095259996</v>
      </c>
    </row>
    <row r="62" spans="1:9" ht="13.5" thickBot="1">
      <c r="A62" s="3"/>
      <c r="B62" s="71"/>
      <c r="C62" s="71"/>
      <c r="D62" s="71"/>
      <c r="E62" s="71"/>
      <c r="F62" s="71"/>
      <c r="G62" s="71"/>
      <c r="H62" s="71"/>
      <c r="I62" s="71"/>
    </row>
    <row r="63" spans="1:9" ht="13.5" thickBot="1">
      <c r="A63" s="3"/>
      <c r="B63" s="50">
        <v>15</v>
      </c>
      <c r="C63" s="69"/>
      <c r="D63" s="52" t="s">
        <v>17</v>
      </c>
      <c r="E63" s="52"/>
      <c r="F63" s="68"/>
      <c r="G63" s="54"/>
      <c r="H63" s="52"/>
      <c r="I63" s="55">
        <f>I74</f>
        <v>15563.849648999998</v>
      </c>
    </row>
    <row r="64" spans="1:9">
      <c r="A64" s="3"/>
      <c r="B64" s="34" t="s">
        <v>109</v>
      </c>
      <c r="C64" s="34"/>
      <c r="D64" s="31" t="s">
        <v>18</v>
      </c>
      <c r="E64" s="31"/>
      <c r="F64" s="36"/>
      <c r="G64" s="57"/>
      <c r="H64" s="66"/>
      <c r="I64" s="59"/>
    </row>
    <row r="65" spans="1:9" ht="63.75">
      <c r="A65" s="3"/>
      <c r="B65" s="32" t="s">
        <v>110</v>
      </c>
      <c r="C65" s="19">
        <v>90843</v>
      </c>
      <c r="D65" s="15" t="s">
        <v>175</v>
      </c>
      <c r="E65" s="19" t="s">
        <v>0</v>
      </c>
      <c r="F65" s="141">
        <v>4</v>
      </c>
      <c r="G65" s="189">
        <v>1024.81</v>
      </c>
      <c r="H65" s="61">
        <f>G65*$H$4+G65</f>
        <v>1234.8960499999998</v>
      </c>
      <c r="I65" s="62">
        <f t="shared" ref="I65" si="16">F65*H65</f>
        <v>4939.5841999999993</v>
      </c>
    </row>
    <row r="66" spans="1:9" ht="102">
      <c r="A66" s="3"/>
      <c r="B66" s="32" t="s">
        <v>111</v>
      </c>
      <c r="C66" s="19" t="s">
        <v>89</v>
      </c>
      <c r="D66" s="15" t="s">
        <v>176</v>
      </c>
      <c r="E66" s="19" t="s">
        <v>0</v>
      </c>
      <c r="F66" s="96">
        <v>1</v>
      </c>
      <c r="G66" s="188">
        <f>1024.81+31.54</f>
        <v>1056.3499999999999</v>
      </c>
      <c r="H66" s="61">
        <f>G66*$H$4+G66</f>
        <v>1272.90175</v>
      </c>
      <c r="I66" s="62">
        <f t="shared" ref="I66:I67" si="17">F66*H66</f>
        <v>1272.90175</v>
      </c>
    </row>
    <row r="67" spans="1:9" ht="63.75">
      <c r="A67" s="3"/>
      <c r="B67" s="32" t="s">
        <v>112</v>
      </c>
      <c r="C67" s="19" t="s">
        <v>180</v>
      </c>
      <c r="D67" s="15" t="s">
        <v>178</v>
      </c>
      <c r="E67" s="19" t="s">
        <v>0</v>
      </c>
      <c r="F67" s="96">
        <v>3</v>
      </c>
      <c r="G67" s="188">
        <f>809.71+302.54</f>
        <v>1112.25</v>
      </c>
      <c r="H67" s="61">
        <f>G67*$H$4+G67</f>
        <v>1340.26125</v>
      </c>
      <c r="I67" s="62">
        <f t="shared" si="17"/>
        <v>4020.7837500000001</v>
      </c>
    </row>
    <row r="68" spans="1:9">
      <c r="A68" s="3"/>
      <c r="B68" s="21" t="s">
        <v>113</v>
      </c>
      <c r="C68" s="19"/>
      <c r="D68" s="20" t="s">
        <v>44</v>
      </c>
      <c r="E68" s="19"/>
      <c r="F68" s="96"/>
      <c r="G68" s="188"/>
      <c r="H68" s="67"/>
      <c r="I68" s="62"/>
    </row>
    <row r="69" spans="1:9" ht="38.25">
      <c r="A69" s="3"/>
      <c r="B69" s="19" t="s">
        <v>114</v>
      </c>
      <c r="C69" s="19">
        <v>91341</v>
      </c>
      <c r="D69" s="15" t="s">
        <v>179</v>
      </c>
      <c r="E69" s="19" t="s">
        <v>103</v>
      </c>
      <c r="F69" s="96">
        <v>3.75</v>
      </c>
      <c r="G69" s="188">
        <v>850.62</v>
      </c>
      <c r="H69" s="61">
        <f>G69*$H$4+G69</f>
        <v>1024.9971</v>
      </c>
      <c r="I69" s="62">
        <f>F69*H69</f>
        <v>3843.7391250000001</v>
      </c>
    </row>
    <row r="70" spans="1:9">
      <c r="A70" s="3"/>
      <c r="B70" s="21" t="s">
        <v>115</v>
      </c>
      <c r="C70" s="19"/>
      <c r="D70" s="18" t="s">
        <v>156</v>
      </c>
      <c r="E70" s="19"/>
      <c r="F70" s="96"/>
      <c r="G70" s="188"/>
      <c r="H70" s="61"/>
      <c r="I70" s="62"/>
    </row>
    <row r="71" spans="1:9" ht="25.5">
      <c r="A71" s="3"/>
      <c r="B71" s="19" t="s">
        <v>116</v>
      </c>
      <c r="C71" s="100">
        <v>100701</v>
      </c>
      <c r="D71" s="153" t="s">
        <v>177</v>
      </c>
      <c r="E71" s="100" t="s">
        <v>103</v>
      </c>
      <c r="F71" s="96">
        <f>0.8*2.1</f>
        <v>1.6800000000000002</v>
      </c>
      <c r="G71" s="188">
        <v>565.55999999999995</v>
      </c>
      <c r="H71" s="61">
        <f>G71*$H$4+G71</f>
        <v>681.49979999999994</v>
      </c>
      <c r="I71" s="62">
        <f>F71*H71</f>
        <v>1144.919664</v>
      </c>
    </row>
    <row r="72" spans="1:9" s="70" customFormat="1">
      <c r="A72" s="3"/>
      <c r="B72" s="21" t="s">
        <v>117</v>
      </c>
      <c r="C72" s="155"/>
      <c r="D72" s="156" t="s">
        <v>19</v>
      </c>
      <c r="E72" s="156"/>
      <c r="F72" s="96"/>
      <c r="G72" s="188"/>
      <c r="H72" s="67"/>
      <c r="I72" s="62"/>
    </row>
    <row r="73" spans="1:9" s="70" customFormat="1" ht="26.25" thickBot="1">
      <c r="A73" s="3"/>
      <c r="B73" s="23" t="s">
        <v>174</v>
      </c>
      <c r="C73" s="100">
        <v>102152</v>
      </c>
      <c r="D73" s="153" t="s">
        <v>173</v>
      </c>
      <c r="E73" s="100" t="s">
        <v>13</v>
      </c>
      <c r="F73" s="96">
        <f>7*(4.8*0.5)*0.1</f>
        <v>1.6800000000000002</v>
      </c>
      <c r="G73" s="188">
        <v>168.9</v>
      </c>
      <c r="H73" s="61">
        <f>G73*$H$4+G73</f>
        <v>203.52449999999999</v>
      </c>
      <c r="I73" s="62">
        <f t="shared" ref="I73" si="18">F73*H73</f>
        <v>341.92115999999999</v>
      </c>
    </row>
    <row r="74" spans="1:9" ht="13.5" thickBot="1">
      <c r="A74" s="3"/>
      <c r="B74" s="16"/>
      <c r="C74" s="17"/>
      <c r="D74" s="17"/>
      <c r="E74" s="17"/>
      <c r="F74" s="17"/>
      <c r="G74" s="26"/>
      <c r="H74" s="83" t="s">
        <v>11</v>
      </c>
      <c r="I74" s="84">
        <f>SUM(I65:I73)</f>
        <v>15563.849648999998</v>
      </c>
    </row>
    <row r="75" spans="1:9" ht="13.5" thickBot="1">
      <c r="A75" s="3"/>
      <c r="B75" s="71"/>
      <c r="C75" s="71"/>
      <c r="D75" s="71"/>
      <c r="E75" s="71"/>
      <c r="F75" s="71"/>
      <c r="G75" s="71"/>
      <c r="H75" s="71"/>
      <c r="I75" s="71"/>
    </row>
    <row r="76" spans="1:9" ht="13.5" thickBot="1">
      <c r="A76" s="3"/>
      <c r="B76" s="50">
        <v>16</v>
      </c>
      <c r="C76" s="69"/>
      <c r="D76" s="52" t="s">
        <v>20</v>
      </c>
      <c r="E76" s="52"/>
      <c r="F76" s="68"/>
      <c r="G76" s="54"/>
      <c r="H76" s="52"/>
      <c r="I76" s="55">
        <f>I78</f>
        <v>881.01887999999985</v>
      </c>
    </row>
    <row r="77" spans="1:9" s="70" customFormat="1" ht="39" thickBot="1">
      <c r="A77" s="3"/>
      <c r="B77" s="19" t="s">
        <v>118</v>
      </c>
      <c r="C77" s="100">
        <v>94227</v>
      </c>
      <c r="D77" s="153" t="s">
        <v>92</v>
      </c>
      <c r="E77" s="100" t="s">
        <v>10</v>
      </c>
      <c r="F77" s="96">
        <f>4.8+4.8</f>
        <v>9.6</v>
      </c>
      <c r="G77" s="188">
        <v>76.16</v>
      </c>
      <c r="H77" s="61">
        <f t="shared" ref="H77" si="19">G77*$H$4+G77</f>
        <v>91.772799999999989</v>
      </c>
      <c r="I77" s="62">
        <f t="shared" ref="I77" si="20">F77*H77</f>
        <v>881.01887999999985</v>
      </c>
    </row>
    <row r="78" spans="1:9" ht="13.5" thickBot="1">
      <c r="A78" s="3"/>
      <c r="B78" s="16"/>
      <c r="C78" s="17"/>
      <c r="D78" s="17"/>
      <c r="E78" s="17"/>
      <c r="F78" s="17"/>
      <c r="G78" s="26"/>
      <c r="H78" s="83" t="s">
        <v>11</v>
      </c>
      <c r="I78" s="84">
        <f>SUM(I77:I77)</f>
        <v>881.01887999999985</v>
      </c>
    </row>
    <row r="79" spans="1:9" ht="13.5" thickBot="1">
      <c r="A79" s="3"/>
      <c r="B79" s="24"/>
      <c r="C79" s="24"/>
      <c r="D79" s="24"/>
      <c r="E79" s="24"/>
      <c r="F79" s="24"/>
      <c r="G79" s="25"/>
      <c r="H79" s="85"/>
      <c r="I79" s="86"/>
    </row>
    <row r="80" spans="1:9" ht="13.5" thickBot="1">
      <c r="A80" s="3"/>
      <c r="B80" s="50">
        <v>17</v>
      </c>
      <c r="C80" s="51"/>
      <c r="D80" s="52" t="s">
        <v>25</v>
      </c>
      <c r="E80" s="52"/>
      <c r="F80" s="68"/>
      <c r="G80" s="54"/>
      <c r="H80" s="52"/>
      <c r="I80" s="55">
        <f>I88</f>
        <v>708.90149999999994</v>
      </c>
    </row>
    <row r="81" spans="1:9">
      <c r="A81" s="3"/>
      <c r="B81" s="21" t="s">
        <v>119</v>
      </c>
      <c r="C81" s="21"/>
      <c r="D81" s="18" t="s">
        <v>26</v>
      </c>
      <c r="E81" s="22"/>
      <c r="F81" s="67"/>
      <c r="G81" s="60"/>
      <c r="H81" s="67"/>
      <c r="I81" s="62"/>
    </row>
    <row r="82" spans="1:9" ht="25.5">
      <c r="A82" s="3"/>
      <c r="B82" s="19" t="s">
        <v>120</v>
      </c>
      <c r="C82" s="19">
        <v>89356</v>
      </c>
      <c r="D82" s="22" t="s">
        <v>95</v>
      </c>
      <c r="E82" s="19" t="s">
        <v>10</v>
      </c>
      <c r="F82" s="96">
        <v>9</v>
      </c>
      <c r="G82" s="188">
        <v>21.77</v>
      </c>
      <c r="H82" s="61">
        <f t="shared" ref="H82:H85" si="21">G82*$H$4+G82</f>
        <v>26.232849999999999</v>
      </c>
      <c r="I82" s="62">
        <f t="shared" ref="I82:I85" si="22">F82*H82</f>
        <v>236.09564999999998</v>
      </c>
    </row>
    <row r="83" spans="1:9" ht="25.5">
      <c r="A83" s="3"/>
      <c r="B83" s="19" t="s">
        <v>212</v>
      </c>
      <c r="C83" s="19">
        <v>86884</v>
      </c>
      <c r="D83" s="22" t="s">
        <v>96</v>
      </c>
      <c r="E83" s="19" t="s">
        <v>0</v>
      </c>
      <c r="F83" s="96">
        <v>6</v>
      </c>
      <c r="G83" s="188">
        <v>8.8699999999999992</v>
      </c>
      <c r="H83" s="61">
        <f t="shared" si="21"/>
        <v>10.68835</v>
      </c>
      <c r="I83" s="62">
        <f t="shared" si="22"/>
        <v>64.130099999999999</v>
      </c>
    </row>
    <row r="84" spans="1:9" ht="38.25">
      <c r="A84" s="3"/>
      <c r="B84" s="19" t="s">
        <v>213</v>
      </c>
      <c r="C84" s="19">
        <v>89362</v>
      </c>
      <c r="D84" s="22" t="s">
        <v>94</v>
      </c>
      <c r="E84" s="19" t="s">
        <v>0</v>
      </c>
      <c r="F84" s="96">
        <v>3</v>
      </c>
      <c r="G84" s="188">
        <v>8.93</v>
      </c>
      <c r="H84" s="61">
        <f t="shared" si="21"/>
        <v>10.76065</v>
      </c>
      <c r="I84" s="62">
        <f t="shared" si="22"/>
        <v>32.281950000000002</v>
      </c>
    </row>
    <row r="85" spans="1:9" ht="25.5">
      <c r="A85" s="3"/>
      <c r="B85" s="19" t="s">
        <v>214</v>
      </c>
      <c r="C85" s="19">
        <v>90373</v>
      </c>
      <c r="D85" s="22" t="s">
        <v>28</v>
      </c>
      <c r="E85" s="19" t="s">
        <v>0</v>
      </c>
      <c r="F85" s="96">
        <v>6</v>
      </c>
      <c r="G85" s="188">
        <v>15.21</v>
      </c>
      <c r="H85" s="61">
        <f t="shared" si="21"/>
        <v>18.328050000000001</v>
      </c>
      <c r="I85" s="62">
        <f t="shared" si="22"/>
        <v>109.9683</v>
      </c>
    </row>
    <row r="86" spans="1:9">
      <c r="A86" s="3"/>
      <c r="B86" s="21" t="s">
        <v>121</v>
      </c>
      <c r="C86" s="19"/>
      <c r="D86" s="18" t="s">
        <v>29</v>
      </c>
      <c r="E86" s="22"/>
      <c r="F86" s="96"/>
      <c r="G86" s="188"/>
      <c r="H86" s="67"/>
      <c r="I86" s="62"/>
    </row>
    <row r="87" spans="1:9" ht="39" thickBot="1">
      <c r="A87" s="3"/>
      <c r="B87" s="23" t="s">
        <v>122</v>
      </c>
      <c r="C87" s="19">
        <v>89987</v>
      </c>
      <c r="D87" s="22" t="s">
        <v>93</v>
      </c>
      <c r="E87" s="19" t="s">
        <v>0</v>
      </c>
      <c r="F87" s="96">
        <v>3</v>
      </c>
      <c r="G87" s="188">
        <v>73.7</v>
      </c>
      <c r="H87" s="61">
        <f>G87*$H$4+G87</f>
        <v>88.808500000000009</v>
      </c>
      <c r="I87" s="62">
        <f t="shared" ref="I87" si="23">F87*H87</f>
        <v>266.42550000000006</v>
      </c>
    </row>
    <row r="88" spans="1:9" ht="13.5" thickBot="1">
      <c r="A88" s="3"/>
      <c r="B88" s="16"/>
      <c r="C88" s="17"/>
      <c r="D88" s="17"/>
      <c r="E88" s="17"/>
      <c r="F88" s="17"/>
      <c r="G88" s="26"/>
      <c r="H88" s="83" t="s">
        <v>11</v>
      </c>
      <c r="I88" s="84">
        <f>SUM(I81:I87)</f>
        <v>708.90149999999994</v>
      </c>
    </row>
    <row r="89" spans="1:9" ht="13.5" thickBot="1">
      <c r="A89" s="3"/>
      <c r="B89" s="71"/>
      <c r="C89" s="71"/>
      <c r="D89" s="71"/>
      <c r="E89" s="71"/>
      <c r="F89" s="71"/>
      <c r="G89" s="71"/>
      <c r="H89" s="71"/>
      <c r="I89" s="71"/>
    </row>
    <row r="90" spans="1:9" ht="13.5" thickBot="1">
      <c r="A90" s="3"/>
      <c r="B90" s="72">
        <v>18</v>
      </c>
      <c r="C90" s="73"/>
      <c r="D90" s="206" t="s">
        <v>45</v>
      </c>
      <c r="E90" s="207"/>
      <c r="F90" s="207"/>
      <c r="G90" s="208"/>
      <c r="H90" s="74"/>
      <c r="I90" s="27">
        <f>I96</f>
        <v>455.09234999999995</v>
      </c>
    </row>
    <row r="91" spans="1:9">
      <c r="A91" s="3"/>
      <c r="B91" s="88" t="s">
        <v>123</v>
      </c>
      <c r="C91" s="88"/>
      <c r="D91" s="89" t="s">
        <v>75</v>
      </c>
      <c r="E91" s="89"/>
      <c r="F91" s="90"/>
      <c r="G91" s="91"/>
      <c r="H91" s="89"/>
      <c r="I91" s="92"/>
    </row>
    <row r="92" spans="1:9" ht="38.25">
      <c r="A92" s="3"/>
      <c r="B92" s="32" t="s">
        <v>124</v>
      </c>
      <c r="C92" s="32">
        <v>89712</v>
      </c>
      <c r="D92" s="37" t="s">
        <v>78</v>
      </c>
      <c r="E92" s="19" t="s">
        <v>10</v>
      </c>
      <c r="F92" s="96">
        <v>3</v>
      </c>
      <c r="G92" s="188">
        <v>30.35</v>
      </c>
      <c r="H92" s="61">
        <f t="shared" ref="H92:H95" si="24">G92*$H$4+G92</f>
        <v>36.571750000000002</v>
      </c>
      <c r="I92" s="62">
        <f t="shared" ref="I92:I95" si="25">F92*H92</f>
        <v>109.71525</v>
      </c>
    </row>
    <row r="93" spans="1:9" ht="38.25">
      <c r="A93" s="3"/>
      <c r="B93" s="32" t="s">
        <v>125</v>
      </c>
      <c r="C93" s="32">
        <v>89714</v>
      </c>
      <c r="D93" s="37" t="s">
        <v>79</v>
      </c>
      <c r="E93" s="19" t="s">
        <v>10</v>
      </c>
      <c r="F93" s="96">
        <v>3</v>
      </c>
      <c r="G93" s="188">
        <v>58.96</v>
      </c>
      <c r="H93" s="61">
        <f t="shared" si="24"/>
        <v>71.046800000000005</v>
      </c>
      <c r="I93" s="62">
        <f t="shared" si="25"/>
        <v>213.1404</v>
      </c>
    </row>
    <row r="94" spans="1:9" ht="38.25">
      <c r="A94" s="3"/>
      <c r="B94" s="32" t="s">
        <v>126</v>
      </c>
      <c r="C94" s="19">
        <v>89744</v>
      </c>
      <c r="D94" s="22" t="s">
        <v>80</v>
      </c>
      <c r="E94" s="19" t="s">
        <v>0</v>
      </c>
      <c r="F94" s="96">
        <v>3</v>
      </c>
      <c r="G94" s="188">
        <v>25.39</v>
      </c>
      <c r="H94" s="61">
        <f t="shared" si="24"/>
        <v>30.594950000000001</v>
      </c>
      <c r="I94" s="62">
        <f t="shared" si="25"/>
        <v>91.784850000000006</v>
      </c>
    </row>
    <row r="95" spans="1:9" ht="39" thickBot="1">
      <c r="A95" s="3"/>
      <c r="B95" s="32" t="s">
        <v>127</v>
      </c>
      <c r="C95" s="194">
        <v>89731</v>
      </c>
      <c r="D95" s="22" t="s">
        <v>81</v>
      </c>
      <c r="E95" s="19" t="s">
        <v>0</v>
      </c>
      <c r="F95" s="96">
        <v>3</v>
      </c>
      <c r="G95" s="188">
        <v>11.19</v>
      </c>
      <c r="H95" s="61">
        <f t="shared" si="24"/>
        <v>13.48395</v>
      </c>
      <c r="I95" s="62">
        <f t="shared" si="25"/>
        <v>40.45185</v>
      </c>
    </row>
    <row r="96" spans="1:9" ht="13.5" thickBot="1">
      <c r="A96" s="3"/>
      <c r="B96" s="16"/>
      <c r="C96" s="17"/>
      <c r="D96" s="17"/>
      <c r="E96" s="17"/>
      <c r="F96" s="17"/>
      <c r="G96" s="262"/>
      <c r="H96" s="83" t="s">
        <v>11</v>
      </c>
      <c r="I96" s="84">
        <f>SUM(I92:I95)</f>
        <v>455.09234999999995</v>
      </c>
    </row>
    <row r="97" spans="1:11" ht="13.5" thickBot="1">
      <c r="A97" s="3"/>
      <c r="B97" s="71"/>
      <c r="C97" s="71"/>
      <c r="D97" s="71"/>
      <c r="E97" s="71"/>
      <c r="F97" s="71"/>
      <c r="G97" s="71"/>
      <c r="H97" s="71"/>
      <c r="I97" s="71"/>
    </row>
    <row r="98" spans="1:11" ht="13.5" thickBot="1">
      <c r="A98" s="3"/>
      <c r="B98" s="72">
        <v>19</v>
      </c>
      <c r="C98" s="73"/>
      <c r="D98" s="74" t="s">
        <v>30</v>
      </c>
      <c r="E98" s="74"/>
      <c r="F98" s="75"/>
      <c r="G98" s="76"/>
      <c r="H98" s="74"/>
      <c r="I98" s="27">
        <f>I112</f>
        <v>4901.6990000000005</v>
      </c>
    </row>
    <row r="99" spans="1:11" ht="25.5">
      <c r="A99" s="3"/>
      <c r="B99" s="32" t="s">
        <v>128</v>
      </c>
      <c r="C99" s="32">
        <v>86888</v>
      </c>
      <c r="D99" s="37" t="s">
        <v>82</v>
      </c>
      <c r="E99" s="32" t="s">
        <v>0</v>
      </c>
      <c r="F99" s="97">
        <v>3</v>
      </c>
      <c r="G99" s="189">
        <v>377.08</v>
      </c>
      <c r="H99" s="58">
        <f t="shared" ref="H99:H111" si="26">G99*$H$4+G99</f>
        <v>454.38139999999999</v>
      </c>
      <c r="I99" s="59">
        <f>F99*H99</f>
        <v>1363.1442</v>
      </c>
      <c r="K99" s="159"/>
    </row>
    <row r="100" spans="1:11" ht="25.5">
      <c r="A100" s="3"/>
      <c r="B100" s="32" t="s">
        <v>129</v>
      </c>
      <c r="C100" s="19">
        <v>100849</v>
      </c>
      <c r="D100" s="22" t="s">
        <v>83</v>
      </c>
      <c r="E100" s="19" t="s">
        <v>0</v>
      </c>
      <c r="F100" s="96">
        <v>3</v>
      </c>
      <c r="G100" s="188">
        <v>39.03</v>
      </c>
      <c r="H100" s="61">
        <f t="shared" si="26"/>
        <v>47.031149999999997</v>
      </c>
      <c r="I100" s="62">
        <f>F100*H100</f>
        <v>141.09344999999999</v>
      </c>
    </row>
    <row r="101" spans="1:11" ht="51">
      <c r="A101" s="3"/>
      <c r="B101" s="32" t="s">
        <v>130</v>
      </c>
      <c r="C101" s="19">
        <v>86902</v>
      </c>
      <c r="D101" s="22" t="s">
        <v>97</v>
      </c>
      <c r="E101" s="19" t="s">
        <v>0</v>
      </c>
      <c r="F101" s="96">
        <v>2</v>
      </c>
      <c r="G101" s="188">
        <v>267.06</v>
      </c>
      <c r="H101" s="61">
        <f t="shared" si="26"/>
        <v>321.8073</v>
      </c>
      <c r="I101" s="62">
        <f t="shared" ref="I101:I111" si="27">F101*H101</f>
        <v>643.6146</v>
      </c>
    </row>
    <row r="102" spans="1:11" ht="51">
      <c r="A102" s="3"/>
      <c r="B102" s="32" t="s">
        <v>131</v>
      </c>
      <c r="C102" s="19">
        <v>86904</v>
      </c>
      <c r="D102" s="22" t="s">
        <v>46</v>
      </c>
      <c r="E102" s="19" t="s">
        <v>0</v>
      </c>
      <c r="F102" s="96">
        <v>1</v>
      </c>
      <c r="G102" s="188">
        <v>121.01</v>
      </c>
      <c r="H102" s="61">
        <f t="shared" si="26"/>
        <v>145.81704999999999</v>
      </c>
      <c r="I102" s="62">
        <f t="shared" ref="I102" si="28">F102*H102</f>
        <v>145.81704999999999</v>
      </c>
    </row>
    <row r="103" spans="1:11" ht="25.5">
      <c r="A103" s="3"/>
      <c r="B103" s="32" t="s">
        <v>132</v>
      </c>
      <c r="C103" s="19">
        <v>86913</v>
      </c>
      <c r="D103" s="154" t="s">
        <v>101</v>
      </c>
      <c r="E103" s="100" t="s">
        <v>0</v>
      </c>
      <c r="F103" s="96">
        <v>3</v>
      </c>
      <c r="G103" s="188">
        <v>53.26</v>
      </c>
      <c r="H103" s="61">
        <f t="shared" si="26"/>
        <v>64.178299999999993</v>
      </c>
      <c r="I103" s="62">
        <f t="shared" si="27"/>
        <v>192.53489999999999</v>
      </c>
    </row>
    <row r="104" spans="1:11" ht="25.5">
      <c r="A104" s="3"/>
      <c r="B104" s="32" t="s">
        <v>133</v>
      </c>
      <c r="C104" s="19">
        <v>86915</v>
      </c>
      <c r="D104" s="154" t="s">
        <v>100</v>
      </c>
      <c r="E104" s="100" t="s">
        <v>0</v>
      </c>
      <c r="F104" s="96">
        <v>2</v>
      </c>
      <c r="G104" s="188">
        <v>138.66</v>
      </c>
      <c r="H104" s="61">
        <f t="shared" si="26"/>
        <v>167.08529999999999</v>
      </c>
      <c r="I104" s="62">
        <f t="shared" si="27"/>
        <v>334.17059999999998</v>
      </c>
    </row>
    <row r="105" spans="1:11" ht="25.5">
      <c r="A105" s="3"/>
      <c r="B105" s="32" t="s">
        <v>134</v>
      </c>
      <c r="C105" s="19" t="s">
        <v>48</v>
      </c>
      <c r="D105" s="154" t="s">
        <v>47</v>
      </c>
      <c r="E105" s="100" t="s">
        <v>0</v>
      </c>
      <c r="F105" s="96">
        <v>1</v>
      </c>
      <c r="G105" s="188">
        <v>165</v>
      </c>
      <c r="H105" s="61">
        <f t="shared" si="26"/>
        <v>198.82499999999999</v>
      </c>
      <c r="I105" s="62">
        <f t="shared" ref="I105" si="29">F105*H105</f>
        <v>198.82499999999999</v>
      </c>
    </row>
    <row r="106" spans="1:11" ht="25.5">
      <c r="A106" s="3"/>
      <c r="B106" s="32" t="s">
        <v>135</v>
      </c>
      <c r="C106" s="19">
        <v>95544</v>
      </c>
      <c r="D106" s="154" t="s">
        <v>98</v>
      </c>
      <c r="E106" s="100" t="s">
        <v>0</v>
      </c>
      <c r="F106" s="96">
        <v>3</v>
      </c>
      <c r="G106" s="188">
        <v>44.74</v>
      </c>
      <c r="H106" s="61">
        <f t="shared" si="26"/>
        <v>53.911700000000003</v>
      </c>
      <c r="I106" s="62">
        <f>F106*H106</f>
        <v>161.73510000000002</v>
      </c>
    </row>
    <row r="107" spans="1:11" ht="25.5">
      <c r="A107" s="3"/>
      <c r="B107" s="32" t="s">
        <v>136</v>
      </c>
      <c r="C107" s="19">
        <v>37401</v>
      </c>
      <c r="D107" s="154" t="s">
        <v>99</v>
      </c>
      <c r="E107" s="100" t="s">
        <v>0</v>
      </c>
      <c r="F107" s="96">
        <v>3</v>
      </c>
      <c r="G107" s="188">
        <v>44.66</v>
      </c>
      <c r="H107" s="61">
        <f t="shared" si="26"/>
        <v>53.815299999999993</v>
      </c>
      <c r="I107" s="62">
        <f>F107*H107</f>
        <v>161.44589999999999</v>
      </c>
    </row>
    <row r="108" spans="1:11" ht="25.5">
      <c r="A108" s="3"/>
      <c r="B108" s="32" t="s">
        <v>137</v>
      </c>
      <c r="C108" s="19">
        <v>95545</v>
      </c>
      <c r="D108" s="154" t="s">
        <v>31</v>
      </c>
      <c r="E108" s="100" t="s">
        <v>0</v>
      </c>
      <c r="F108" s="96">
        <v>3</v>
      </c>
      <c r="G108" s="188">
        <v>43.88</v>
      </c>
      <c r="H108" s="61">
        <f t="shared" si="26"/>
        <v>52.875399999999999</v>
      </c>
      <c r="I108" s="62">
        <f t="shared" si="27"/>
        <v>158.62619999999998</v>
      </c>
    </row>
    <row r="109" spans="1:11">
      <c r="A109" s="3"/>
      <c r="B109" s="32" t="s">
        <v>138</v>
      </c>
      <c r="C109" s="19" t="s">
        <v>88</v>
      </c>
      <c r="D109" s="154" t="s">
        <v>102</v>
      </c>
      <c r="E109" s="100" t="s">
        <v>0</v>
      </c>
      <c r="F109" s="96">
        <v>1</v>
      </c>
      <c r="G109" s="188">
        <v>340</v>
      </c>
      <c r="H109" s="61">
        <f t="shared" si="26"/>
        <v>409.7</v>
      </c>
      <c r="I109" s="62">
        <f t="shared" ref="I109" si="30">F109*H109</f>
        <v>409.7</v>
      </c>
    </row>
    <row r="110" spans="1:11" ht="25.5">
      <c r="A110" s="3"/>
      <c r="B110" s="32" t="s">
        <v>139</v>
      </c>
      <c r="C110" s="19">
        <v>100871</v>
      </c>
      <c r="D110" s="154" t="s">
        <v>84</v>
      </c>
      <c r="E110" s="100" t="s">
        <v>0</v>
      </c>
      <c r="F110" s="96">
        <v>1</v>
      </c>
      <c r="G110" s="188">
        <v>267.24</v>
      </c>
      <c r="H110" s="61">
        <f t="shared" si="26"/>
        <v>322.02420000000001</v>
      </c>
      <c r="I110" s="62">
        <f t="shared" ref="I110" si="31">F110*H110</f>
        <v>322.02420000000001</v>
      </c>
    </row>
    <row r="111" spans="1:11" ht="26.25" thickBot="1">
      <c r="A111" s="3"/>
      <c r="B111" s="32" t="s">
        <v>262</v>
      </c>
      <c r="C111" s="19">
        <v>100872</v>
      </c>
      <c r="D111" s="154" t="s">
        <v>85</v>
      </c>
      <c r="E111" s="100" t="s">
        <v>0</v>
      </c>
      <c r="F111" s="96">
        <v>2</v>
      </c>
      <c r="G111" s="188">
        <v>277.58</v>
      </c>
      <c r="H111" s="61">
        <f t="shared" si="26"/>
        <v>334.48389999999995</v>
      </c>
      <c r="I111" s="62">
        <f t="shared" si="27"/>
        <v>668.9677999999999</v>
      </c>
    </row>
    <row r="112" spans="1:11" ht="13.5" thickBot="1">
      <c r="A112" s="3"/>
      <c r="B112" s="16"/>
      <c r="C112" s="17"/>
      <c r="D112" s="17"/>
      <c r="E112" s="17"/>
      <c r="F112" s="17"/>
      <c r="G112" s="26"/>
      <c r="H112" s="83" t="s">
        <v>11</v>
      </c>
      <c r="I112" s="84">
        <f>SUM(I99:I111)</f>
        <v>4901.6990000000005</v>
      </c>
    </row>
    <row r="113" spans="1:9" ht="13.5" thickBot="1">
      <c r="A113" s="3"/>
      <c r="B113" s="71"/>
      <c r="C113" s="71"/>
      <c r="D113" s="71"/>
      <c r="E113" s="71"/>
      <c r="F113" s="71"/>
      <c r="G113" s="71"/>
      <c r="H113" s="71"/>
      <c r="I113" s="71"/>
    </row>
    <row r="114" spans="1:9" ht="13.5" thickBot="1">
      <c r="A114" s="3"/>
      <c r="B114" s="72">
        <v>20</v>
      </c>
      <c r="C114" s="73"/>
      <c r="D114" s="74" t="s">
        <v>32</v>
      </c>
      <c r="E114" s="74"/>
      <c r="F114" s="75"/>
      <c r="G114" s="76"/>
      <c r="H114" s="74"/>
      <c r="I114" s="27">
        <f>I121</f>
        <v>674.14930000000004</v>
      </c>
    </row>
    <row r="115" spans="1:9" ht="25.5">
      <c r="A115" s="3"/>
      <c r="B115" s="32" t="s">
        <v>140</v>
      </c>
      <c r="C115" s="32">
        <v>101908</v>
      </c>
      <c r="D115" s="98" t="s">
        <v>242</v>
      </c>
      <c r="E115" s="99" t="s">
        <v>0</v>
      </c>
      <c r="F115" s="97">
        <v>1</v>
      </c>
      <c r="G115" s="189">
        <v>165.43</v>
      </c>
      <c r="H115" s="58">
        <f t="shared" ref="H115:H120" si="32">G115*$H$4+G115</f>
        <v>199.34315000000001</v>
      </c>
      <c r="I115" s="59">
        <f>F115*H115</f>
        <v>199.34315000000001</v>
      </c>
    </row>
    <row r="116" spans="1:9" ht="25.5">
      <c r="A116" s="3"/>
      <c r="B116" s="32" t="s">
        <v>141</v>
      </c>
      <c r="C116" s="19">
        <v>97599</v>
      </c>
      <c r="D116" s="154" t="s">
        <v>210</v>
      </c>
      <c r="E116" s="100" t="s">
        <v>0</v>
      </c>
      <c r="F116" s="96">
        <v>2</v>
      </c>
      <c r="G116" s="95">
        <v>159</v>
      </c>
      <c r="H116" s="61">
        <f t="shared" si="32"/>
        <v>191.595</v>
      </c>
      <c r="I116" s="62">
        <f t="shared" ref="I116" si="33">F116*H116</f>
        <v>383.19</v>
      </c>
    </row>
    <row r="117" spans="1:9">
      <c r="A117" s="3"/>
      <c r="B117" s="32" t="s">
        <v>142</v>
      </c>
      <c r="C117" s="19" t="s">
        <v>88</v>
      </c>
      <c r="D117" s="154" t="s">
        <v>209</v>
      </c>
      <c r="E117" s="100" t="s">
        <v>0</v>
      </c>
      <c r="F117" s="96">
        <v>2</v>
      </c>
      <c r="G117" s="95">
        <v>16.899999999999999</v>
      </c>
      <c r="H117" s="61">
        <f t="shared" si="32"/>
        <v>20.3645</v>
      </c>
      <c r="I117" s="62">
        <f t="shared" ref="I117" si="34">F117*H117</f>
        <v>40.728999999999999</v>
      </c>
    </row>
    <row r="118" spans="1:9">
      <c r="A118" s="3"/>
      <c r="B118" s="32" t="s">
        <v>143</v>
      </c>
      <c r="C118" s="19" t="s">
        <v>88</v>
      </c>
      <c r="D118" s="154" t="s">
        <v>215</v>
      </c>
      <c r="E118" s="100" t="s">
        <v>0</v>
      </c>
      <c r="F118" s="96">
        <v>1</v>
      </c>
      <c r="G118" s="95">
        <v>12.23</v>
      </c>
      <c r="H118" s="61">
        <f t="shared" si="32"/>
        <v>14.73715</v>
      </c>
      <c r="I118" s="62">
        <f t="shared" ref="I118" si="35">F118*H118</f>
        <v>14.73715</v>
      </c>
    </row>
    <row r="119" spans="1:9" ht="25.5">
      <c r="A119" s="3"/>
      <c r="B119" s="32" t="s">
        <v>144</v>
      </c>
      <c r="C119" s="19" t="s">
        <v>88</v>
      </c>
      <c r="D119" s="154" t="s">
        <v>243</v>
      </c>
      <c r="E119" s="100" t="s">
        <v>0</v>
      </c>
      <c r="F119" s="96">
        <v>1</v>
      </c>
      <c r="G119" s="95">
        <v>25</v>
      </c>
      <c r="H119" s="61">
        <f t="shared" si="32"/>
        <v>30.125</v>
      </c>
      <c r="I119" s="62">
        <f t="shared" ref="I119:I120" si="36">F119*H119</f>
        <v>30.125</v>
      </c>
    </row>
    <row r="120" spans="1:9">
      <c r="A120" s="3"/>
      <c r="B120" s="32" t="s">
        <v>216</v>
      </c>
      <c r="C120" s="19" t="s">
        <v>88</v>
      </c>
      <c r="D120" s="154" t="s">
        <v>244</v>
      </c>
      <c r="E120" s="100" t="s">
        <v>0</v>
      </c>
      <c r="F120" s="96">
        <v>1</v>
      </c>
      <c r="G120" s="95">
        <v>5</v>
      </c>
      <c r="H120" s="61">
        <f t="shared" si="32"/>
        <v>6.0250000000000004</v>
      </c>
      <c r="I120" s="62">
        <f t="shared" si="36"/>
        <v>6.0250000000000004</v>
      </c>
    </row>
    <row r="121" spans="1:9" ht="13.5" thickBot="1">
      <c r="A121" s="3"/>
      <c r="B121" s="28"/>
      <c r="C121" s="29"/>
      <c r="D121" s="29"/>
      <c r="E121" s="29"/>
      <c r="F121" s="29"/>
      <c r="G121" s="30"/>
      <c r="H121" s="93" t="s">
        <v>11</v>
      </c>
      <c r="I121" s="94">
        <f>SUM(I115:I120)</f>
        <v>674.14930000000004</v>
      </c>
    </row>
    <row r="122" spans="1:9" ht="13.5" thickBot="1">
      <c r="A122" s="3"/>
      <c r="B122" s="3"/>
      <c r="C122" s="3"/>
      <c r="D122" s="2"/>
      <c r="E122" s="3"/>
      <c r="F122" s="4"/>
      <c r="G122" s="5"/>
      <c r="H122" s="6"/>
      <c r="I122" s="65"/>
    </row>
    <row r="123" spans="1:9" ht="13.5" thickBot="1">
      <c r="A123" s="3"/>
      <c r="B123" s="72">
        <v>21</v>
      </c>
      <c r="C123" s="73"/>
      <c r="D123" s="74" t="s">
        <v>33</v>
      </c>
      <c r="E123" s="74"/>
      <c r="F123" s="75"/>
      <c r="G123" s="76"/>
      <c r="H123" s="74"/>
      <c r="I123" s="27">
        <f>I144</f>
        <v>7090.3573700000015</v>
      </c>
    </row>
    <row r="124" spans="1:9">
      <c r="A124" s="3"/>
      <c r="B124" s="34" t="s">
        <v>145</v>
      </c>
      <c r="C124" s="32"/>
      <c r="D124" s="31" t="s">
        <v>50</v>
      </c>
      <c r="E124" s="32"/>
      <c r="F124" s="56"/>
      <c r="G124" s="57"/>
      <c r="H124" s="58"/>
      <c r="I124" s="59"/>
    </row>
    <row r="125" spans="1:9" ht="38.25">
      <c r="A125" s="3"/>
      <c r="B125" s="19" t="s">
        <v>146</v>
      </c>
      <c r="C125" s="19" t="s">
        <v>88</v>
      </c>
      <c r="D125" s="22" t="s">
        <v>193</v>
      </c>
      <c r="E125" s="19" t="s">
        <v>0</v>
      </c>
      <c r="F125" s="96">
        <v>1</v>
      </c>
      <c r="G125" s="95">
        <v>120</v>
      </c>
      <c r="H125" s="61">
        <f>G125*$H$4+G125</f>
        <v>144.6</v>
      </c>
      <c r="I125" s="62">
        <f t="shared" ref="I125" si="37">F125*H125</f>
        <v>144.6</v>
      </c>
    </row>
    <row r="126" spans="1:9">
      <c r="A126" s="3"/>
      <c r="B126" s="21" t="s">
        <v>147</v>
      </c>
      <c r="C126" s="19"/>
      <c r="D126" s="18" t="s">
        <v>34</v>
      </c>
      <c r="E126" s="19"/>
      <c r="F126" s="96"/>
      <c r="G126" s="60"/>
      <c r="H126" s="61"/>
      <c r="I126" s="62"/>
    </row>
    <row r="127" spans="1:9" ht="25.5">
      <c r="A127" s="3"/>
      <c r="B127" s="19" t="s">
        <v>148</v>
      </c>
      <c r="C127" s="19">
        <v>93653</v>
      </c>
      <c r="D127" s="22" t="s">
        <v>194</v>
      </c>
      <c r="E127" s="19" t="s">
        <v>0</v>
      </c>
      <c r="F127" s="96">
        <v>7</v>
      </c>
      <c r="G127" s="188">
        <v>11.96</v>
      </c>
      <c r="H127" s="61">
        <f t="shared" ref="H127:H128" si="38">G127*$H$4+G127</f>
        <v>14.411800000000001</v>
      </c>
      <c r="I127" s="62">
        <f>F127*H127</f>
        <v>100.88260000000001</v>
      </c>
    </row>
    <row r="128" spans="1:9" ht="25.5">
      <c r="A128" s="3"/>
      <c r="B128" s="19" t="s">
        <v>217</v>
      </c>
      <c r="C128" s="19">
        <v>93656</v>
      </c>
      <c r="D128" s="22" t="s">
        <v>195</v>
      </c>
      <c r="E128" s="19" t="s">
        <v>0</v>
      </c>
      <c r="F128" s="96">
        <v>1</v>
      </c>
      <c r="G128" s="188">
        <v>14.05</v>
      </c>
      <c r="H128" s="61">
        <f t="shared" si="38"/>
        <v>16.930250000000001</v>
      </c>
      <c r="I128" s="62">
        <f t="shared" ref="I128" si="39">F128*H128</f>
        <v>16.930250000000001</v>
      </c>
    </row>
    <row r="129" spans="1:9">
      <c r="A129" s="3"/>
      <c r="B129" s="21" t="s">
        <v>149</v>
      </c>
      <c r="C129" s="19"/>
      <c r="D129" s="18" t="s">
        <v>35</v>
      </c>
      <c r="E129" s="19"/>
      <c r="F129" s="96"/>
      <c r="G129" s="188"/>
      <c r="H129" s="61"/>
      <c r="I129" s="62"/>
    </row>
    <row r="130" spans="1:9" ht="38.25">
      <c r="A130" s="3"/>
      <c r="B130" s="19" t="s">
        <v>150</v>
      </c>
      <c r="C130" s="19">
        <v>91867</v>
      </c>
      <c r="D130" s="154" t="s">
        <v>207</v>
      </c>
      <c r="E130" s="100" t="s">
        <v>10</v>
      </c>
      <c r="F130" s="96">
        <v>42</v>
      </c>
      <c r="G130" s="188">
        <v>10.83</v>
      </c>
      <c r="H130" s="61">
        <f t="shared" ref="H130:H132" si="40">G130*$H$4+G130</f>
        <v>13.05015</v>
      </c>
      <c r="I130" s="62">
        <f t="shared" ref="I130" si="41">F130*H130</f>
        <v>548.10630000000003</v>
      </c>
    </row>
    <row r="131" spans="1:9" ht="51">
      <c r="A131" s="3"/>
      <c r="B131" s="19" t="s">
        <v>218</v>
      </c>
      <c r="C131" s="19">
        <v>96562</v>
      </c>
      <c r="D131" s="154" t="s">
        <v>206</v>
      </c>
      <c r="E131" s="100" t="s">
        <v>10</v>
      </c>
      <c r="F131" s="96">
        <v>30.15</v>
      </c>
      <c r="G131" s="188">
        <v>19.760000000000002</v>
      </c>
      <c r="H131" s="61">
        <f t="shared" si="40"/>
        <v>23.8108</v>
      </c>
      <c r="I131" s="62">
        <f t="shared" ref="I131" si="42">F131*H131</f>
        <v>717.89562000000001</v>
      </c>
    </row>
    <row r="132" spans="1:9">
      <c r="A132" s="3"/>
      <c r="B132" s="19" t="s">
        <v>219</v>
      </c>
      <c r="C132" s="19">
        <v>91941</v>
      </c>
      <c r="D132" s="154" t="s">
        <v>36</v>
      </c>
      <c r="E132" s="100" t="s">
        <v>0</v>
      </c>
      <c r="F132" s="96">
        <f>F140+F141+F142+F139+F138</f>
        <v>25</v>
      </c>
      <c r="G132" s="188">
        <v>11.13</v>
      </c>
      <c r="H132" s="61">
        <f t="shared" si="40"/>
        <v>13.411650000000002</v>
      </c>
      <c r="I132" s="62">
        <f t="shared" ref="I132" si="43">F132*H132</f>
        <v>335.29125000000005</v>
      </c>
    </row>
    <row r="133" spans="1:9">
      <c r="A133" s="3"/>
      <c r="B133" s="21" t="s">
        <v>151</v>
      </c>
      <c r="C133" s="19"/>
      <c r="D133" s="18" t="s">
        <v>37</v>
      </c>
      <c r="E133" s="19"/>
      <c r="F133" s="96"/>
      <c r="G133" s="188"/>
      <c r="H133" s="61"/>
      <c r="I133" s="62"/>
    </row>
    <row r="134" spans="1:9" ht="38.25">
      <c r="A134" s="3"/>
      <c r="B134" s="19" t="s">
        <v>220</v>
      </c>
      <c r="C134" s="19">
        <v>91924</v>
      </c>
      <c r="D134" s="22" t="s">
        <v>196</v>
      </c>
      <c r="E134" s="19" t="s">
        <v>10</v>
      </c>
      <c r="F134" s="96">
        <v>100</v>
      </c>
      <c r="G134" s="188">
        <v>3.05</v>
      </c>
      <c r="H134" s="61">
        <f t="shared" ref="H134:H136" si="44">G134*$H$4+G134</f>
        <v>3.6752499999999997</v>
      </c>
      <c r="I134" s="62">
        <f>F134*H134</f>
        <v>367.52499999999998</v>
      </c>
    </row>
    <row r="135" spans="1:9" ht="38.25">
      <c r="A135" s="3"/>
      <c r="B135" s="19" t="s">
        <v>221</v>
      </c>
      <c r="C135" s="19">
        <v>91926</v>
      </c>
      <c r="D135" s="22" t="s">
        <v>197</v>
      </c>
      <c r="E135" s="19" t="s">
        <v>10</v>
      </c>
      <c r="F135" s="96">
        <f>(F140+F141+F142+F143)*6</f>
        <v>210</v>
      </c>
      <c r="G135" s="188">
        <v>4.3499999999999996</v>
      </c>
      <c r="H135" s="61">
        <f t="shared" si="44"/>
        <v>5.2417499999999997</v>
      </c>
      <c r="I135" s="62">
        <f>F135*H135</f>
        <v>1100.7674999999999</v>
      </c>
    </row>
    <row r="136" spans="1:9" ht="38.25">
      <c r="A136" s="3"/>
      <c r="B136" s="19" t="s">
        <v>222</v>
      </c>
      <c r="C136" s="19">
        <v>91930</v>
      </c>
      <c r="D136" s="22" t="s">
        <v>198</v>
      </c>
      <c r="E136" s="19" t="s">
        <v>10</v>
      </c>
      <c r="F136" s="96">
        <f>(60.19+3)*2+(2.9+3)*2</f>
        <v>138.18</v>
      </c>
      <c r="G136" s="188">
        <v>9.5</v>
      </c>
      <c r="H136" s="61">
        <f t="shared" si="44"/>
        <v>11.4475</v>
      </c>
      <c r="I136" s="62">
        <f t="shared" ref="I136" si="45">F136*H136</f>
        <v>1581.81555</v>
      </c>
    </row>
    <row r="137" spans="1:9">
      <c r="A137" s="3"/>
      <c r="B137" s="21" t="s">
        <v>223</v>
      </c>
      <c r="C137" s="21"/>
      <c r="D137" s="18" t="s">
        <v>38</v>
      </c>
      <c r="E137" s="22"/>
      <c r="F137" s="96"/>
      <c r="G137" s="188"/>
      <c r="H137" s="67"/>
      <c r="I137" s="62"/>
    </row>
    <row r="138" spans="1:9" ht="25.5">
      <c r="A138" s="3"/>
      <c r="B138" s="19" t="s">
        <v>224</v>
      </c>
      <c r="C138" s="19">
        <v>91953</v>
      </c>
      <c r="D138" s="154" t="s">
        <v>49</v>
      </c>
      <c r="E138" s="100" t="s">
        <v>0</v>
      </c>
      <c r="F138" s="96">
        <v>5</v>
      </c>
      <c r="G138" s="188">
        <v>28.45</v>
      </c>
      <c r="H138" s="61">
        <f t="shared" ref="H138:H143" si="46">G138*$H$4+G138</f>
        <v>34.282249999999998</v>
      </c>
      <c r="I138" s="62">
        <f t="shared" ref="I138:I140" si="47">F138*H138</f>
        <v>171.41125</v>
      </c>
    </row>
    <row r="139" spans="1:9" ht="25.5">
      <c r="A139" s="3"/>
      <c r="B139" s="19" t="s">
        <v>225</v>
      </c>
      <c r="C139" s="19">
        <v>91959</v>
      </c>
      <c r="D139" s="154" t="s">
        <v>203</v>
      </c>
      <c r="E139" s="100" t="s">
        <v>0</v>
      </c>
      <c r="F139" s="96">
        <v>2</v>
      </c>
      <c r="G139" s="188">
        <v>44.87</v>
      </c>
      <c r="H139" s="61">
        <f t="shared" si="46"/>
        <v>54.068349999999995</v>
      </c>
      <c r="I139" s="62">
        <f t="shared" si="47"/>
        <v>108.13669999999999</v>
      </c>
    </row>
    <row r="140" spans="1:9" ht="25.5">
      <c r="A140" s="3"/>
      <c r="B140" s="19" t="s">
        <v>226</v>
      </c>
      <c r="C140" s="19">
        <v>91992</v>
      </c>
      <c r="D140" s="154" t="s">
        <v>201</v>
      </c>
      <c r="E140" s="100" t="s">
        <v>0</v>
      </c>
      <c r="F140" s="96">
        <v>3</v>
      </c>
      <c r="G140" s="188">
        <v>45.28</v>
      </c>
      <c r="H140" s="61">
        <f t="shared" si="46"/>
        <v>54.562399999999997</v>
      </c>
      <c r="I140" s="62">
        <f t="shared" si="47"/>
        <v>163.68719999999999</v>
      </c>
    </row>
    <row r="141" spans="1:9" ht="25.5">
      <c r="A141" s="3"/>
      <c r="B141" s="19" t="s">
        <v>227</v>
      </c>
      <c r="C141" s="19">
        <v>91996</v>
      </c>
      <c r="D141" s="154" t="s">
        <v>200</v>
      </c>
      <c r="E141" s="100" t="s">
        <v>0</v>
      </c>
      <c r="F141" s="96">
        <v>3</v>
      </c>
      <c r="G141" s="188">
        <v>34.25</v>
      </c>
      <c r="H141" s="61">
        <f t="shared" si="46"/>
        <v>41.271250000000002</v>
      </c>
      <c r="I141" s="62">
        <f t="shared" ref="I141:I142" si="48">F141*H141</f>
        <v>123.81375</v>
      </c>
    </row>
    <row r="142" spans="1:9" ht="25.5">
      <c r="A142" s="3"/>
      <c r="B142" s="19" t="s">
        <v>228</v>
      </c>
      <c r="C142" s="19">
        <v>92008</v>
      </c>
      <c r="D142" s="154" t="s">
        <v>202</v>
      </c>
      <c r="E142" s="100" t="s">
        <v>0</v>
      </c>
      <c r="F142" s="96">
        <v>12</v>
      </c>
      <c r="G142" s="188">
        <v>47.84</v>
      </c>
      <c r="H142" s="61">
        <f t="shared" si="46"/>
        <v>57.647200000000005</v>
      </c>
      <c r="I142" s="62">
        <f t="shared" si="48"/>
        <v>691.76640000000009</v>
      </c>
    </row>
    <row r="143" spans="1:9" ht="26.25" thickBot="1">
      <c r="A143" s="3"/>
      <c r="B143" s="19" t="s">
        <v>229</v>
      </c>
      <c r="C143" s="19">
        <v>97592</v>
      </c>
      <c r="D143" s="154" t="s">
        <v>199</v>
      </c>
      <c r="E143" s="100" t="s">
        <v>0</v>
      </c>
      <c r="F143" s="96">
        <v>17</v>
      </c>
      <c r="G143" s="188">
        <v>44.8</v>
      </c>
      <c r="H143" s="61">
        <f t="shared" si="46"/>
        <v>53.983999999999995</v>
      </c>
      <c r="I143" s="62">
        <f t="shared" ref="I143" si="49">F143*H143</f>
        <v>917.72799999999995</v>
      </c>
    </row>
    <row r="144" spans="1:9" ht="13.5" thickBot="1">
      <c r="A144" s="3"/>
      <c r="B144" s="16"/>
      <c r="C144" s="17"/>
      <c r="D144" s="17"/>
      <c r="E144" s="17"/>
      <c r="F144" s="17"/>
      <c r="G144" s="26"/>
      <c r="H144" s="83" t="s">
        <v>11</v>
      </c>
      <c r="I144" s="84">
        <f>SUM(I124:I143)</f>
        <v>7090.3573700000015</v>
      </c>
    </row>
    <row r="145" spans="1:9" ht="13.5" thickBot="1">
      <c r="A145" s="3"/>
      <c r="B145" s="3"/>
      <c r="C145" s="3"/>
      <c r="D145" s="2"/>
      <c r="E145" s="3"/>
      <c r="F145" s="4"/>
      <c r="G145" s="5"/>
      <c r="H145" s="6"/>
      <c r="I145" s="65"/>
    </row>
    <row r="146" spans="1:9" ht="13.5" thickBot="1">
      <c r="A146" s="3"/>
      <c r="B146" s="72">
        <v>22</v>
      </c>
      <c r="C146" s="73"/>
      <c r="D146" s="74" t="s">
        <v>39</v>
      </c>
      <c r="E146" s="74"/>
      <c r="F146" s="75"/>
      <c r="G146" s="76"/>
      <c r="H146" s="74"/>
      <c r="I146" s="27">
        <f>I154</f>
        <v>2465.3355280000001</v>
      </c>
    </row>
    <row r="147" spans="1:9" ht="25.5">
      <c r="A147" s="3"/>
      <c r="B147" s="19" t="s">
        <v>152</v>
      </c>
      <c r="C147" s="19">
        <v>98297</v>
      </c>
      <c r="D147" s="22" t="s">
        <v>204</v>
      </c>
      <c r="E147" s="19" t="s">
        <v>10</v>
      </c>
      <c r="F147" s="96">
        <f>14.12+10.09+13.04+(12.52*2)+43.54+1</f>
        <v>106.83</v>
      </c>
      <c r="G147" s="188">
        <v>4.12</v>
      </c>
      <c r="H147" s="61">
        <f t="shared" ref="H147:H153" si="50">G147*$H$4+G147</f>
        <v>4.9645999999999999</v>
      </c>
      <c r="I147" s="62">
        <f t="shared" ref="I147:I153" si="51">F147*H147</f>
        <v>530.36821799999996</v>
      </c>
    </row>
    <row r="148" spans="1:9">
      <c r="A148" s="3"/>
      <c r="B148" s="19" t="s">
        <v>231</v>
      </c>
      <c r="C148" s="19">
        <v>98307</v>
      </c>
      <c r="D148" s="22" t="s">
        <v>41</v>
      </c>
      <c r="E148" s="19" t="s">
        <v>40</v>
      </c>
      <c r="F148" s="96">
        <v>7</v>
      </c>
      <c r="G148" s="188">
        <v>47.14</v>
      </c>
      <c r="H148" s="61">
        <f t="shared" si="50"/>
        <v>56.803699999999999</v>
      </c>
      <c r="I148" s="62">
        <f t="shared" si="51"/>
        <v>397.6259</v>
      </c>
    </row>
    <row r="149" spans="1:9" ht="38.25">
      <c r="A149" s="3"/>
      <c r="B149" s="19" t="s">
        <v>232</v>
      </c>
      <c r="C149" s="19">
        <v>98263</v>
      </c>
      <c r="D149" s="22" t="s">
        <v>237</v>
      </c>
      <c r="E149" s="19" t="s">
        <v>10</v>
      </c>
      <c r="F149" s="96">
        <v>25</v>
      </c>
      <c r="G149" s="188">
        <v>6.3</v>
      </c>
      <c r="H149" s="61">
        <f t="shared" si="50"/>
        <v>7.5914999999999999</v>
      </c>
      <c r="I149" s="62">
        <f t="shared" si="51"/>
        <v>189.78749999999999</v>
      </c>
    </row>
    <row r="150" spans="1:9" ht="25.5">
      <c r="A150" s="3"/>
      <c r="B150" s="19" t="s">
        <v>233</v>
      </c>
      <c r="C150" s="19">
        <v>98308</v>
      </c>
      <c r="D150" s="22" t="s">
        <v>230</v>
      </c>
      <c r="E150" s="19" t="s">
        <v>40</v>
      </c>
      <c r="F150" s="96">
        <v>4</v>
      </c>
      <c r="G150" s="188">
        <v>31.95</v>
      </c>
      <c r="H150" s="61">
        <f t="shared" si="50"/>
        <v>38.499749999999999</v>
      </c>
      <c r="I150" s="62">
        <f t="shared" si="51"/>
        <v>153.999</v>
      </c>
    </row>
    <row r="151" spans="1:9" ht="25.5">
      <c r="A151" s="3"/>
      <c r="B151" s="19" t="s">
        <v>234</v>
      </c>
      <c r="C151" s="19">
        <v>91941</v>
      </c>
      <c r="D151" s="22" t="s">
        <v>205</v>
      </c>
      <c r="E151" s="19" t="s">
        <v>40</v>
      </c>
      <c r="F151" s="96">
        <f>F148+F150</f>
        <v>11</v>
      </c>
      <c r="G151" s="188">
        <v>11.13</v>
      </c>
      <c r="H151" s="61">
        <f t="shared" si="50"/>
        <v>13.411650000000002</v>
      </c>
      <c r="I151" s="62">
        <f t="shared" si="51"/>
        <v>147.52815000000001</v>
      </c>
    </row>
    <row r="152" spans="1:9" ht="51">
      <c r="A152" s="3"/>
      <c r="B152" s="19" t="s">
        <v>235</v>
      </c>
      <c r="C152" s="19">
        <v>96562</v>
      </c>
      <c r="D152" s="22" t="s">
        <v>206</v>
      </c>
      <c r="E152" s="19" t="s">
        <v>10</v>
      </c>
      <c r="F152" s="96">
        <v>34.700000000000003</v>
      </c>
      <c r="G152" s="188">
        <v>19.760000000000002</v>
      </c>
      <c r="H152" s="61">
        <f t="shared" si="50"/>
        <v>23.8108</v>
      </c>
      <c r="I152" s="62">
        <f t="shared" si="51"/>
        <v>826.23476000000005</v>
      </c>
    </row>
    <row r="153" spans="1:9" ht="39" thickBot="1">
      <c r="A153" s="3"/>
      <c r="B153" s="19" t="s">
        <v>236</v>
      </c>
      <c r="C153" s="19">
        <v>91863</v>
      </c>
      <c r="D153" s="22" t="s">
        <v>211</v>
      </c>
      <c r="E153" s="19" t="s">
        <v>10</v>
      </c>
      <c r="F153" s="96">
        <f>3+4+3.5+1+3.5</f>
        <v>15</v>
      </c>
      <c r="G153" s="188">
        <v>12.16</v>
      </c>
      <c r="H153" s="61">
        <f t="shared" si="50"/>
        <v>14.652799999999999</v>
      </c>
      <c r="I153" s="62">
        <f t="shared" si="51"/>
        <v>219.79199999999997</v>
      </c>
    </row>
    <row r="154" spans="1:9" ht="13.5" thickBot="1">
      <c r="A154" s="3"/>
      <c r="B154" s="16"/>
      <c r="C154" s="17"/>
      <c r="D154" s="17"/>
      <c r="E154" s="17"/>
      <c r="F154" s="17"/>
      <c r="G154" s="26"/>
      <c r="H154" s="83" t="s">
        <v>11</v>
      </c>
      <c r="I154" s="84">
        <f>SUM(I147:I153)</f>
        <v>2465.3355280000001</v>
      </c>
    </row>
    <row r="155" spans="1:9" ht="13.5" thickBot="1">
      <c r="A155" s="3"/>
      <c r="B155" s="38"/>
      <c r="C155" s="39"/>
      <c r="D155" s="39"/>
      <c r="E155" s="39"/>
      <c r="F155" s="39"/>
      <c r="G155" s="40"/>
      <c r="H155" s="41"/>
      <c r="I155" s="42"/>
    </row>
    <row r="156" spans="1:9" ht="13.5" thickBot="1">
      <c r="A156" s="3"/>
      <c r="B156" s="50">
        <v>23</v>
      </c>
      <c r="C156" s="51"/>
      <c r="D156" s="52" t="s">
        <v>23</v>
      </c>
      <c r="E156" s="52"/>
      <c r="F156" s="68"/>
      <c r="G156" s="54"/>
      <c r="H156" s="52"/>
      <c r="I156" s="55">
        <f>I160</f>
        <v>12420.289269999999</v>
      </c>
    </row>
    <row r="157" spans="1:9" ht="25.5">
      <c r="A157" s="3"/>
      <c r="B157" s="32" t="s">
        <v>153</v>
      </c>
      <c r="C157" s="32">
        <v>88489</v>
      </c>
      <c r="D157" s="33" t="s">
        <v>240</v>
      </c>
      <c r="E157" s="32" t="s">
        <v>13</v>
      </c>
      <c r="F157" s="97">
        <f>157.8*3</f>
        <v>473.40000000000003</v>
      </c>
      <c r="G157" s="189">
        <v>13.89</v>
      </c>
      <c r="H157" s="58">
        <f t="shared" ref="H157:H159" si="52">G157*$H$4+G157</f>
        <v>16.737449999999999</v>
      </c>
      <c r="I157" s="59">
        <f t="shared" ref="I157:I159" si="53">F157*H157</f>
        <v>7923.5088299999998</v>
      </c>
    </row>
    <row r="158" spans="1:9">
      <c r="A158" s="3"/>
      <c r="B158" s="32" t="s">
        <v>154</v>
      </c>
      <c r="C158" s="194">
        <v>88488</v>
      </c>
      <c r="D158" s="15" t="s">
        <v>241</v>
      </c>
      <c r="E158" s="19" t="s">
        <v>13</v>
      </c>
      <c r="F158" s="96">
        <v>210.16</v>
      </c>
      <c r="G158" s="188">
        <v>15.86</v>
      </c>
      <c r="H158" s="61">
        <f t="shared" si="52"/>
        <v>19.1113</v>
      </c>
      <c r="I158" s="62">
        <f t="shared" si="53"/>
        <v>4016.4308080000001</v>
      </c>
    </row>
    <row r="159" spans="1:9" ht="26.25" thickBot="1">
      <c r="A159" s="3"/>
      <c r="B159" s="32" t="s">
        <v>239</v>
      </c>
      <c r="C159" s="19">
        <v>102218</v>
      </c>
      <c r="D159" s="15" t="s">
        <v>24</v>
      </c>
      <c r="E159" s="19" t="s">
        <v>13</v>
      </c>
      <c r="F159" s="96">
        <f>(F65+F66+F67)*2.1*0.8*2</f>
        <v>26.880000000000003</v>
      </c>
      <c r="G159" s="188">
        <v>14.83</v>
      </c>
      <c r="H159" s="63">
        <f t="shared" si="52"/>
        <v>17.870149999999999</v>
      </c>
      <c r="I159" s="64">
        <f t="shared" si="53"/>
        <v>480.34963200000004</v>
      </c>
    </row>
    <row r="160" spans="1:9" ht="13.5" thickBot="1">
      <c r="A160" s="3"/>
      <c r="B160" s="16"/>
      <c r="C160" s="17"/>
      <c r="D160" s="17"/>
      <c r="E160" s="17"/>
      <c r="F160" s="17"/>
      <c r="G160" s="26"/>
      <c r="H160" s="83" t="s">
        <v>11</v>
      </c>
      <c r="I160" s="84">
        <f>SUM(I157:I159)</f>
        <v>12420.289269999999</v>
      </c>
    </row>
    <row r="161" spans="1:9" ht="13.5" thickBot="1">
      <c r="A161" s="3"/>
      <c r="B161" s="3"/>
      <c r="C161" s="3"/>
      <c r="D161" s="2"/>
      <c r="E161" s="3"/>
      <c r="F161" s="4"/>
      <c r="G161" s="5"/>
      <c r="H161" s="6"/>
      <c r="I161" s="65"/>
    </row>
    <row r="162" spans="1:9" ht="13.5" thickBot="1">
      <c r="A162" s="3"/>
      <c r="B162" s="72">
        <v>24</v>
      </c>
      <c r="C162" s="73"/>
      <c r="D162" s="74" t="s">
        <v>42</v>
      </c>
      <c r="E162" s="74"/>
      <c r="F162" s="75"/>
      <c r="G162" s="76"/>
      <c r="H162" s="74"/>
      <c r="I162" s="27">
        <f>I165</f>
        <v>2659.6653959999999</v>
      </c>
    </row>
    <row r="163" spans="1:9">
      <c r="A163" s="3"/>
      <c r="B163" s="99" t="s">
        <v>155</v>
      </c>
      <c r="C163" s="99">
        <v>98504</v>
      </c>
      <c r="D163" s="98" t="s">
        <v>208</v>
      </c>
      <c r="E163" s="99" t="s">
        <v>103</v>
      </c>
      <c r="F163" s="141">
        <v>157.85</v>
      </c>
      <c r="G163" s="261">
        <v>11.36</v>
      </c>
      <c r="H163" s="61">
        <f t="shared" ref="H163:H164" si="54">G163*$H$4+G163</f>
        <v>13.688799999999999</v>
      </c>
      <c r="I163" s="62">
        <f t="shared" ref="I163:I164" si="55">F163*H163</f>
        <v>2160.7770799999998</v>
      </c>
    </row>
    <row r="164" spans="1:9" ht="13.5" thickBot="1">
      <c r="A164" s="3"/>
      <c r="B164" s="99" t="s">
        <v>238</v>
      </c>
      <c r="C164" s="32">
        <v>99803</v>
      </c>
      <c r="D164" s="37" t="s">
        <v>43</v>
      </c>
      <c r="E164" s="32" t="s">
        <v>13</v>
      </c>
      <c r="F164" s="97">
        <v>210.16</v>
      </c>
      <c r="G164" s="189">
        <v>1.97</v>
      </c>
      <c r="H164" s="61">
        <f t="shared" si="54"/>
        <v>2.37385</v>
      </c>
      <c r="I164" s="62">
        <f t="shared" si="55"/>
        <v>498.88831599999997</v>
      </c>
    </row>
    <row r="165" spans="1:9" ht="13.5" thickBot="1">
      <c r="A165" s="3"/>
      <c r="B165" s="16"/>
      <c r="C165" s="17"/>
      <c r="D165" s="17"/>
      <c r="E165" s="17"/>
      <c r="F165" s="17"/>
      <c r="G165" s="26"/>
      <c r="H165" s="83" t="s">
        <v>11</v>
      </c>
      <c r="I165" s="84">
        <f>SUM(I163:I164)</f>
        <v>2659.6653959999999</v>
      </c>
    </row>
    <row r="166" spans="1:9">
      <c r="A166" s="3"/>
      <c r="B166" s="3"/>
      <c r="C166" s="3"/>
      <c r="D166" s="2"/>
      <c r="E166" s="3"/>
      <c r="F166" s="4"/>
      <c r="G166" s="5"/>
      <c r="H166" s="6"/>
      <c r="I166" s="5"/>
    </row>
    <row r="167" spans="1:9" ht="15" customHeight="1">
      <c r="A167" s="3"/>
      <c r="B167" s="200" t="s">
        <v>55</v>
      </c>
      <c r="C167" s="201"/>
      <c r="D167" s="201"/>
      <c r="E167" s="201"/>
      <c r="F167" s="201"/>
      <c r="G167" s="201"/>
      <c r="H167" s="202"/>
      <c r="I167" s="87">
        <f>I14+I45+I50+I55+I61+I74+I78+I88+I96+I112+I121+I144+I154+I160+I165</f>
        <v>123851.50664674402</v>
      </c>
    </row>
    <row r="168" spans="1:9">
      <c r="A168" s="3"/>
      <c r="D168" s="2"/>
      <c r="E168" s="3"/>
      <c r="F168" s="4"/>
      <c r="G168" s="5"/>
    </row>
    <row r="169" spans="1:9">
      <c r="A169" s="3"/>
      <c r="D169" s="2"/>
      <c r="E169" s="3"/>
      <c r="F169" s="4"/>
      <c r="G169" s="5"/>
      <c r="H169" s="24"/>
    </row>
    <row r="170" spans="1:9" ht="22.5" customHeight="1">
      <c r="D170" s="77" t="s">
        <v>51</v>
      </c>
      <c r="E170" s="195" t="s">
        <v>53</v>
      </c>
      <c r="F170" s="195"/>
      <c r="G170" s="195"/>
      <c r="H170" s="195"/>
      <c r="I170" s="195"/>
    </row>
    <row r="171" spans="1:9" ht="22.5" customHeight="1">
      <c r="D171" s="78" t="s">
        <v>52</v>
      </c>
      <c r="E171" s="196" t="s">
        <v>54</v>
      </c>
      <c r="F171" s="196"/>
      <c r="G171" s="196"/>
      <c r="H171" s="196"/>
      <c r="I171" s="196"/>
    </row>
    <row r="172" spans="1:9" ht="15">
      <c r="D172" s="79"/>
      <c r="E172" s="80"/>
      <c r="F172" s="81"/>
      <c r="G172" s="82"/>
      <c r="H172" s="82"/>
      <c r="I172" s="82"/>
    </row>
    <row r="186" spans="1:6">
      <c r="A186" s="43"/>
      <c r="B186" s="43"/>
      <c r="C186" s="43"/>
      <c r="D186" s="43"/>
      <c r="E186" s="43"/>
      <c r="F186" s="43"/>
    </row>
    <row r="191" spans="1:6">
      <c r="A191" s="43"/>
      <c r="B191" s="43"/>
      <c r="C191" s="43"/>
      <c r="D191" s="43"/>
      <c r="E191" s="43"/>
      <c r="F191" s="43"/>
    </row>
  </sheetData>
  <mergeCells count="14">
    <mergeCell ref="B1:I1"/>
    <mergeCell ref="C5:G5"/>
    <mergeCell ref="B2:I2"/>
    <mergeCell ref="B4:C4"/>
    <mergeCell ref="D3:H3"/>
    <mergeCell ref="B3:C3"/>
    <mergeCell ref="D4:F4"/>
    <mergeCell ref="E170:I170"/>
    <mergeCell ref="E171:I171"/>
    <mergeCell ref="B9:I9"/>
    <mergeCell ref="B167:H167"/>
    <mergeCell ref="D57:F57"/>
    <mergeCell ref="D90:G90"/>
    <mergeCell ref="D47:G47"/>
  </mergeCells>
  <conditionalFormatting sqref="F7:H7 H155">
    <cfRule type="cellIs" dxfId="1" priority="11" stopIfTrue="1" operator="equal">
      <formula>0</formula>
    </cfRule>
  </conditionalFormatting>
  <conditionalFormatting sqref="F64:F65">
    <cfRule type="cellIs" dxfId="0" priority="3" stopIfTrue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7" fitToHeight="0" orientation="portrait" verticalDpi="0" r:id="rId1"/>
  <headerFooter>
    <oddFooter>Página &amp;P de &amp;N</oddFooter>
  </headerFooter>
  <rowBreaks count="4" manualBreakCount="4">
    <brk id="39" min="1" max="8" man="1"/>
    <brk id="74" min="1" max="8" man="1"/>
    <brk id="118" min="1" max="8" man="1"/>
    <brk id="154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H16" sqref="H16"/>
    </sheetView>
  </sheetViews>
  <sheetFormatPr defaultRowHeight="15"/>
  <cols>
    <col min="1" max="1" width="7.28515625" style="132" bestFit="1" customWidth="1"/>
    <col min="2" max="2" width="46.42578125" style="132" customWidth="1"/>
    <col min="3" max="3" width="13.28515625" style="139" bestFit="1" customWidth="1"/>
    <col min="4" max="4" width="7.28515625" style="140" bestFit="1" customWidth="1"/>
    <col min="5" max="5" width="14.28515625" style="139" bestFit="1" customWidth="1"/>
    <col min="6" max="6" width="8.28515625" style="140" bestFit="1" customWidth="1"/>
    <col min="7" max="7" width="14.28515625" style="139" bestFit="1" customWidth="1"/>
    <col min="8" max="8" width="8.28515625" style="140" customWidth="1"/>
    <col min="9" max="9" width="14.28515625" style="139" bestFit="1" customWidth="1"/>
    <col min="10" max="10" width="8.28515625" style="140" customWidth="1"/>
    <col min="11" max="11" width="15.85546875" style="132" bestFit="1" customWidth="1"/>
    <col min="12" max="12" width="8.28515625" style="132" bestFit="1" customWidth="1"/>
    <col min="13" max="16384" width="9.140625" style="132"/>
  </cols>
  <sheetData>
    <row r="1" spans="1:12" ht="21" customHeight="1" thickBot="1">
      <c r="A1" s="239" t="s">
        <v>270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1"/>
    </row>
    <row r="2" spans="1:12" ht="16.5" thickBot="1">
      <c r="A2" s="250" t="s">
        <v>59</v>
      </c>
      <c r="B2" s="251"/>
      <c r="C2" s="251"/>
      <c r="D2" s="251"/>
      <c r="E2" s="251"/>
      <c r="F2" s="251"/>
      <c r="G2" s="121"/>
      <c r="H2" s="129"/>
      <c r="I2" s="121"/>
      <c r="J2" s="129"/>
      <c r="K2" s="101"/>
      <c r="L2" s="102"/>
    </row>
    <row r="3" spans="1:12" ht="15.75">
      <c r="A3" s="252" t="s">
        <v>169</v>
      </c>
      <c r="B3" s="253"/>
      <c r="C3" s="253"/>
      <c r="D3" s="253"/>
      <c r="E3" s="253"/>
      <c r="F3" s="253"/>
      <c r="G3" s="122"/>
      <c r="H3" s="130"/>
      <c r="I3" s="122"/>
      <c r="J3" s="130"/>
      <c r="K3" s="103"/>
      <c r="L3" s="104"/>
    </row>
    <row r="4" spans="1:12" ht="15.75">
      <c r="A4" s="254" t="s">
        <v>170</v>
      </c>
      <c r="B4" s="255"/>
      <c r="C4" s="256"/>
      <c r="D4" s="256"/>
      <c r="E4" s="256"/>
      <c r="F4" s="256"/>
      <c r="G4" s="133"/>
      <c r="H4" s="134"/>
      <c r="I4" s="133"/>
      <c r="J4" s="134"/>
      <c r="K4" s="257" t="s">
        <v>268</v>
      </c>
      <c r="L4" s="258"/>
    </row>
    <row r="5" spans="1:12" ht="15.75">
      <c r="A5" s="254"/>
      <c r="B5" s="255"/>
      <c r="C5" s="255"/>
      <c r="D5" s="255"/>
      <c r="E5" s="255"/>
      <c r="F5" s="135"/>
      <c r="G5" s="136"/>
      <c r="H5" s="137"/>
      <c r="I5" s="136"/>
      <c r="J5" s="137"/>
      <c r="K5" s="259"/>
      <c r="L5" s="260"/>
    </row>
    <row r="6" spans="1:12">
      <c r="A6" s="246" t="s">
        <v>1</v>
      </c>
      <c r="B6" s="247" t="s">
        <v>157</v>
      </c>
      <c r="C6" s="242" t="s">
        <v>158</v>
      </c>
      <c r="D6" s="243"/>
      <c r="E6" s="243"/>
      <c r="F6" s="243"/>
      <c r="G6" s="243"/>
      <c r="H6" s="243"/>
      <c r="I6" s="243"/>
      <c r="J6" s="243"/>
      <c r="K6" s="248" t="s">
        <v>159</v>
      </c>
      <c r="L6" s="249"/>
    </row>
    <row r="7" spans="1:12">
      <c r="A7" s="246"/>
      <c r="B7" s="247"/>
      <c r="C7" s="244" t="s">
        <v>160</v>
      </c>
      <c r="D7" s="245"/>
      <c r="E7" s="244" t="s">
        <v>161</v>
      </c>
      <c r="F7" s="245"/>
      <c r="G7" s="244" t="s">
        <v>171</v>
      </c>
      <c r="H7" s="245"/>
      <c r="I7" s="244" t="s">
        <v>172</v>
      </c>
      <c r="J7" s="245"/>
      <c r="K7" s="248"/>
      <c r="L7" s="249"/>
    </row>
    <row r="8" spans="1:12">
      <c r="A8" s="246"/>
      <c r="B8" s="247"/>
      <c r="C8" s="118" t="s">
        <v>162</v>
      </c>
      <c r="D8" s="124" t="s">
        <v>163</v>
      </c>
      <c r="E8" s="118" t="s">
        <v>162</v>
      </c>
      <c r="F8" s="124" t="s">
        <v>163</v>
      </c>
      <c r="G8" s="118" t="s">
        <v>162</v>
      </c>
      <c r="H8" s="124" t="s">
        <v>163</v>
      </c>
      <c r="I8" s="118" t="s">
        <v>162</v>
      </c>
      <c r="J8" s="124" t="s">
        <v>163</v>
      </c>
      <c r="K8" s="105" t="s">
        <v>162</v>
      </c>
      <c r="L8" s="106" t="s">
        <v>163</v>
      </c>
    </row>
    <row r="9" spans="1:12">
      <c r="A9" s="231" t="str">
        <f>Orçamento!B9</f>
        <v>LOTE 2 - MURO DE CONTENÇÃO FUNDOS E REFORMA INTERNA - PARTE OESTE (FRENTE PARA RUA ALTAMIRO LOBO GUIMARÃES) ABAIXO DA ARQUIBANCADA</v>
      </c>
      <c r="B9" s="232"/>
      <c r="C9" s="232"/>
      <c r="D9" s="232"/>
      <c r="E9" s="232"/>
      <c r="F9" s="232"/>
      <c r="G9" s="232"/>
      <c r="H9" s="232"/>
      <c r="I9" s="232"/>
      <c r="J9" s="232"/>
      <c r="K9" s="116"/>
      <c r="L9" s="117"/>
    </row>
    <row r="10" spans="1:12">
      <c r="A10" s="138">
        <v>1</v>
      </c>
      <c r="B10" s="157" t="str">
        <f>Orçamento!D11</f>
        <v xml:space="preserve">SERVIÇOS PRELIMINARES </v>
      </c>
      <c r="C10" s="119">
        <f t="shared" ref="C10:C24" si="0">D10*$K10</f>
        <v>837.85003215000006</v>
      </c>
      <c r="D10" s="125">
        <v>1</v>
      </c>
      <c r="E10" s="120">
        <f t="shared" ref="E10:E24" si="1">F10*$K10</f>
        <v>0</v>
      </c>
      <c r="F10" s="127"/>
      <c r="G10" s="119">
        <f t="shared" ref="G10:G24" si="2">H10*$K10</f>
        <v>0</v>
      </c>
      <c r="H10" s="125">
        <v>0</v>
      </c>
      <c r="I10" s="120">
        <f t="shared" ref="I10:I24" si="3">J10*$K10</f>
        <v>0</v>
      </c>
      <c r="J10" s="127"/>
      <c r="K10" s="108">
        <f>Orçamento!I11</f>
        <v>837.85003215000006</v>
      </c>
      <c r="L10" s="109">
        <f t="shared" ref="L10:L17" si="4">K10/$K$26</f>
        <v>6.7649563161129829E-3</v>
      </c>
    </row>
    <row r="11" spans="1:12">
      <c r="A11" s="138">
        <v>11</v>
      </c>
      <c r="B11" s="157" t="str">
        <f>Orçamento!D16</f>
        <v>FUNDAÇÕES (Muro de contenção)</v>
      </c>
      <c r="C11" s="119">
        <f t="shared" si="0"/>
        <v>14288.021332900202</v>
      </c>
      <c r="D11" s="125">
        <v>0.3</v>
      </c>
      <c r="E11" s="120">
        <f t="shared" si="1"/>
        <v>28576.042665800403</v>
      </c>
      <c r="F11" s="127">
        <v>0.6</v>
      </c>
      <c r="G11" s="119">
        <f t="shared" si="2"/>
        <v>4762.6737776334003</v>
      </c>
      <c r="H11" s="125">
        <v>0.1</v>
      </c>
      <c r="I11" s="120">
        <f t="shared" si="3"/>
        <v>0</v>
      </c>
      <c r="J11" s="127"/>
      <c r="K11" s="108">
        <f>Orçamento!I16</f>
        <v>47626.737776334005</v>
      </c>
      <c r="L11" s="109">
        <f t="shared" si="4"/>
        <v>0.38454710052238256</v>
      </c>
    </row>
    <row r="12" spans="1:12" ht="25.5">
      <c r="A12" s="138">
        <v>12</v>
      </c>
      <c r="B12" s="157" t="str">
        <f>Orçamento!D47</f>
        <v>SISTEMA DE VEDAÇÃO VERTICAL INTERNO E EXTERNO (PAREDES)</v>
      </c>
      <c r="C12" s="119">
        <f t="shared" si="0"/>
        <v>0</v>
      </c>
      <c r="D12" s="125"/>
      <c r="E12" s="120">
        <f t="shared" si="1"/>
        <v>231.10695000000001</v>
      </c>
      <c r="F12" s="127">
        <v>0.5</v>
      </c>
      <c r="G12" s="119">
        <f t="shared" si="2"/>
        <v>231.10695000000001</v>
      </c>
      <c r="H12" s="125">
        <v>0.5</v>
      </c>
      <c r="I12" s="120">
        <f t="shared" si="3"/>
        <v>0</v>
      </c>
      <c r="J12" s="127"/>
      <c r="K12" s="108">
        <f>Orçamento!I47</f>
        <v>462.21390000000002</v>
      </c>
      <c r="L12" s="109">
        <f t="shared" si="4"/>
        <v>3.7320006232814881E-3</v>
      </c>
    </row>
    <row r="13" spans="1:12">
      <c r="A13" s="138">
        <v>13</v>
      </c>
      <c r="B13" s="157" t="str">
        <f>Orçamento!D52</f>
        <v>REVESTIMENTOS INTERNOS E EXTERNOS</v>
      </c>
      <c r="C13" s="119">
        <f t="shared" si="0"/>
        <v>0</v>
      </c>
      <c r="D13" s="125"/>
      <c r="E13" s="120">
        <f t="shared" si="1"/>
        <v>303.73230000000001</v>
      </c>
      <c r="F13" s="127">
        <v>0.5</v>
      </c>
      <c r="G13" s="119">
        <f t="shared" si="2"/>
        <v>303.73230000000001</v>
      </c>
      <c r="H13" s="125">
        <v>0.5</v>
      </c>
      <c r="I13" s="120">
        <f t="shared" si="3"/>
        <v>0</v>
      </c>
      <c r="J13" s="127"/>
      <c r="K13" s="108">
        <f>Orçamento!I52</f>
        <v>607.46460000000002</v>
      </c>
      <c r="L13" s="109">
        <f t="shared" si="4"/>
        <v>4.904781673206798E-3</v>
      </c>
    </row>
    <row r="14" spans="1:12" ht="25.5">
      <c r="A14" s="138">
        <v>14</v>
      </c>
      <c r="B14" s="157" t="str">
        <f>Orçamento!D57</f>
        <v>SISTEMAS DE PISOS INTERNOS E EXTERNOS (PAVIMENTAÇÃO)</v>
      </c>
      <c r="C14" s="119">
        <f t="shared" si="0"/>
        <v>0</v>
      </c>
      <c r="D14" s="125"/>
      <c r="E14" s="120">
        <f t="shared" si="1"/>
        <v>0</v>
      </c>
      <c r="F14" s="127"/>
      <c r="G14" s="119">
        <f t="shared" si="2"/>
        <v>13248.441047629998</v>
      </c>
      <c r="H14" s="125">
        <v>0.5</v>
      </c>
      <c r="I14" s="120">
        <f t="shared" si="3"/>
        <v>13248.441047629998</v>
      </c>
      <c r="J14" s="127">
        <v>0.5</v>
      </c>
      <c r="K14" s="108">
        <f>Orçamento!I57</f>
        <v>26496.882095259996</v>
      </c>
      <c r="L14" s="109">
        <f t="shared" si="4"/>
        <v>0.21394073283933349</v>
      </c>
    </row>
    <row r="15" spans="1:12">
      <c r="A15" s="138">
        <v>15</v>
      </c>
      <c r="B15" s="157" t="str">
        <f>Orçamento!D63</f>
        <v xml:space="preserve">ESQUADRIAS </v>
      </c>
      <c r="C15" s="119">
        <f t="shared" si="0"/>
        <v>0</v>
      </c>
      <c r="D15" s="125"/>
      <c r="E15" s="120">
        <f t="shared" si="1"/>
        <v>0</v>
      </c>
      <c r="F15" s="127"/>
      <c r="G15" s="119">
        <f t="shared" si="2"/>
        <v>7781.924824499999</v>
      </c>
      <c r="H15" s="125">
        <v>0.5</v>
      </c>
      <c r="I15" s="120">
        <f t="shared" si="3"/>
        <v>7781.924824499999</v>
      </c>
      <c r="J15" s="127">
        <v>0.5</v>
      </c>
      <c r="K15" s="108">
        <f>Orçamento!I63</f>
        <v>15563.849648999998</v>
      </c>
      <c r="L15" s="109">
        <f t="shared" si="4"/>
        <v>0.1256654042440683</v>
      </c>
    </row>
    <row r="16" spans="1:12">
      <c r="A16" s="138">
        <v>16</v>
      </c>
      <c r="B16" s="157" t="str">
        <f>Orçamento!D76</f>
        <v xml:space="preserve">SISTEMAS DE COBERTURA </v>
      </c>
      <c r="C16" s="119">
        <f t="shared" si="0"/>
        <v>0</v>
      </c>
      <c r="D16" s="125"/>
      <c r="E16" s="120">
        <f t="shared" si="1"/>
        <v>0</v>
      </c>
      <c r="F16" s="127"/>
      <c r="G16" s="119">
        <f t="shared" si="2"/>
        <v>0</v>
      </c>
      <c r="H16" s="125"/>
      <c r="I16" s="120">
        <f t="shared" si="3"/>
        <v>881.01887999999985</v>
      </c>
      <c r="J16" s="127">
        <v>1</v>
      </c>
      <c r="K16" s="108">
        <f>Orçamento!I76</f>
        <v>881.01887999999985</v>
      </c>
      <c r="L16" s="109">
        <f t="shared" si="4"/>
        <v>7.1135095878396507E-3</v>
      </c>
    </row>
    <row r="17" spans="1:12">
      <c r="A17" s="138">
        <v>17</v>
      </c>
      <c r="B17" s="157" t="str">
        <f>Orçamento!D80</f>
        <v xml:space="preserve">INSTALAÇÃO HIDRÁULICA </v>
      </c>
      <c r="C17" s="119">
        <f t="shared" si="0"/>
        <v>0</v>
      </c>
      <c r="D17" s="125"/>
      <c r="E17" s="120">
        <f t="shared" si="1"/>
        <v>0</v>
      </c>
      <c r="F17" s="127"/>
      <c r="G17" s="119">
        <f t="shared" si="2"/>
        <v>354.45074999999997</v>
      </c>
      <c r="H17" s="125">
        <v>0.5</v>
      </c>
      <c r="I17" s="120">
        <f t="shared" si="3"/>
        <v>354.45074999999997</v>
      </c>
      <c r="J17" s="127">
        <v>0.5</v>
      </c>
      <c r="K17" s="114">
        <f>Orçamento!I80</f>
        <v>708.90149999999994</v>
      </c>
      <c r="L17" s="109">
        <f t="shared" si="4"/>
        <v>5.7238019883114315E-3</v>
      </c>
    </row>
    <row r="18" spans="1:12" ht="25.5">
      <c r="A18" s="138">
        <v>18</v>
      </c>
      <c r="B18" s="157" t="str">
        <f>Orçamento!D90</f>
        <v>INSTALAÇÃO SANITÁRIA E DRENAGEM DE ÁGUAS PLUVIAIS</v>
      </c>
      <c r="C18" s="119">
        <f t="shared" si="0"/>
        <v>0</v>
      </c>
      <c r="D18" s="125"/>
      <c r="E18" s="120">
        <f t="shared" si="1"/>
        <v>91.018469999999994</v>
      </c>
      <c r="F18" s="127">
        <v>0.2</v>
      </c>
      <c r="G18" s="119">
        <f t="shared" si="2"/>
        <v>182.03693999999999</v>
      </c>
      <c r="H18" s="125">
        <v>0.4</v>
      </c>
      <c r="I18" s="120">
        <f t="shared" si="3"/>
        <v>182.03693999999999</v>
      </c>
      <c r="J18" s="127">
        <v>0.4</v>
      </c>
      <c r="K18" s="115">
        <f>Orçamento!I90</f>
        <v>455.09234999999995</v>
      </c>
      <c r="L18" s="109">
        <f t="shared" ref="L18:L24" si="5">K18/$K$26</f>
        <v>3.6744999097834074E-3</v>
      </c>
    </row>
    <row r="19" spans="1:12">
      <c r="A19" s="138">
        <v>19</v>
      </c>
      <c r="B19" s="157" t="str">
        <f>Orçamento!D98</f>
        <v xml:space="preserve">LOUÇAS E METAIS </v>
      </c>
      <c r="C19" s="119">
        <f t="shared" si="0"/>
        <v>0</v>
      </c>
      <c r="D19" s="125"/>
      <c r="E19" s="120">
        <f t="shared" si="1"/>
        <v>0</v>
      </c>
      <c r="F19" s="127"/>
      <c r="G19" s="119">
        <f t="shared" si="2"/>
        <v>0</v>
      </c>
      <c r="H19" s="125"/>
      <c r="I19" s="120">
        <f t="shared" si="3"/>
        <v>4901.6990000000005</v>
      </c>
      <c r="J19" s="127">
        <v>1</v>
      </c>
      <c r="K19" s="115">
        <f>Orçamento!I98</f>
        <v>4901.6990000000005</v>
      </c>
      <c r="L19" s="109">
        <f t="shared" si="5"/>
        <v>3.95772254428918E-2</v>
      </c>
    </row>
    <row r="20" spans="1:12">
      <c r="A20" s="138">
        <v>20</v>
      </c>
      <c r="B20" s="157" t="str">
        <f>Orçamento!D114</f>
        <v>SISTEMA DE PROTEÇÃO CONTRA INCÊNDIO</v>
      </c>
      <c r="C20" s="119">
        <f t="shared" si="0"/>
        <v>0</v>
      </c>
      <c r="D20" s="125"/>
      <c r="E20" s="120">
        <f t="shared" si="1"/>
        <v>134.82986000000002</v>
      </c>
      <c r="F20" s="127">
        <v>0.2</v>
      </c>
      <c r="G20" s="119">
        <f t="shared" si="2"/>
        <v>134.82986000000002</v>
      </c>
      <c r="H20" s="125">
        <v>0.2</v>
      </c>
      <c r="I20" s="120">
        <f t="shared" si="3"/>
        <v>404.48957999999999</v>
      </c>
      <c r="J20" s="127">
        <v>0.6</v>
      </c>
      <c r="K20" s="115">
        <f>Orçamento!I114</f>
        <v>674.14930000000004</v>
      </c>
      <c r="L20" s="109">
        <f t="shared" si="5"/>
        <v>5.4432062899553192E-3</v>
      </c>
    </row>
    <row r="21" spans="1:12">
      <c r="A21" s="138">
        <v>21</v>
      </c>
      <c r="B21" s="157" t="str">
        <f>Orçamento!D123</f>
        <v>INSTALAÇÕES ELÉTRICAS - 220V</v>
      </c>
      <c r="C21" s="119">
        <f t="shared" si="0"/>
        <v>0</v>
      </c>
      <c r="D21" s="125"/>
      <c r="E21" s="120">
        <f t="shared" si="1"/>
        <v>0</v>
      </c>
      <c r="F21" s="127"/>
      <c r="G21" s="119">
        <f t="shared" si="2"/>
        <v>3545.1786850000008</v>
      </c>
      <c r="H21" s="125">
        <v>0.5</v>
      </c>
      <c r="I21" s="120">
        <f t="shared" si="3"/>
        <v>3545.1786850000008</v>
      </c>
      <c r="J21" s="127">
        <v>0.5</v>
      </c>
      <c r="K21" s="115">
        <f>Orçamento!I123</f>
        <v>7090.3573700000015</v>
      </c>
      <c r="L21" s="109">
        <f t="shared" si="5"/>
        <v>5.7248858427079961E-2</v>
      </c>
    </row>
    <row r="22" spans="1:12">
      <c r="A22" s="138">
        <v>22</v>
      </c>
      <c r="B22" s="157" t="str">
        <f>Orçamento!D146</f>
        <v>INSTALAÇÕES DE REDE ESTRUTURADA</v>
      </c>
      <c r="C22" s="119">
        <f t="shared" si="0"/>
        <v>0</v>
      </c>
      <c r="D22" s="125"/>
      <c r="E22" s="120">
        <f t="shared" si="1"/>
        <v>0</v>
      </c>
      <c r="F22" s="127"/>
      <c r="G22" s="119">
        <f t="shared" si="2"/>
        <v>246.53355280000002</v>
      </c>
      <c r="H22" s="125">
        <v>0.1</v>
      </c>
      <c r="I22" s="120">
        <f t="shared" si="3"/>
        <v>2218.8019752</v>
      </c>
      <c r="J22" s="127">
        <v>0.9</v>
      </c>
      <c r="K22" s="115">
        <f>Orçamento!I146</f>
        <v>2465.3355280000001</v>
      </c>
      <c r="L22" s="109">
        <f t="shared" si="5"/>
        <v>1.9905575594100472E-2</v>
      </c>
    </row>
    <row r="23" spans="1:12">
      <c r="A23" s="138">
        <v>23</v>
      </c>
      <c r="B23" s="107" t="str">
        <f>Orçamento!D156</f>
        <v xml:space="preserve">PINTURA </v>
      </c>
      <c r="C23" s="119">
        <f t="shared" si="0"/>
        <v>0</v>
      </c>
      <c r="D23" s="125"/>
      <c r="E23" s="120">
        <f t="shared" si="1"/>
        <v>0</v>
      </c>
      <c r="F23" s="127"/>
      <c r="G23" s="119">
        <f t="shared" si="2"/>
        <v>0</v>
      </c>
      <c r="H23" s="125"/>
      <c r="I23" s="120">
        <f t="shared" si="3"/>
        <v>12420.289269999999</v>
      </c>
      <c r="J23" s="127">
        <v>1</v>
      </c>
      <c r="K23" s="115">
        <f>Orçamento!I156</f>
        <v>12420.289269999999</v>
      </c>
      <c r="L23" s="109">
        <f t="shared" si="5"/>
        <v>0.10028371560651113</v>
      </c>
    </row>
    <row r="24" spans="1:12" ht="15.75" thickBot="1">
      <c r="A24" s="138">
        <v>24</v>
      </c>
      <c r="B24" s="107" t="str">
        <f>Orçamento!D162</f>
        <v>SERVIÇOS FINAIS</v>
      </c>
      <c r="C24" s="119">
        <f t="shared" si="0"/>
        <v>0</v>
      </c>
      <c r="D24" s="125"/>
      <c r="E24" s="120">
        <f t="shared" si="1"/>
        <v>0</v>
      </c>
      <c r="F24" s="127"/>
      <c r="G24" s="119">
        <f t="shared" si="2"/>
        <v>0</v>
      </c>
      <c r="H24" s="125"/>
      <c r="I24" s="120">
        <f t="shared" si="3"/>
        <v>2659.6653959999999</v>
      </c>
      <c r="J24" s="127">
        <v>1</v>
      </c>
      <c r="K24" s="115">
        <f>Orçamento!I162</f>
        <v>2659.6653959999999</v>
      </c>
      <c r="L24" s="109">
        <f t="shared" si="5"/>
        <v>2.1474630935141077E-2</v>
      </c>
    </row>
    <row r="25" spans="1:12" ht="15.75" thickBot="1">
      <c r="A25" s="233" t="s">
        <v>164</v>
      </c>
      <c r="B25" s="234"/>
      <c r="C25" s="110">
        <f>SUM(C9:C24)</f>
        <v>15125.871365050201</v>
      </c>
      <c r="D25" s="151">
        <f>C25/$K$26</f>
        <v>0.12212908647282775</v>
      </c>
      <c r="E25" s="110">
        <f>SUM(E9:E24)</f>
        <v>29336.730245800405</v>
      </c>
      <c r="F25" s="152">
        <f>E25/$K$26</f>
        <v>0.23687019270162143</v>
      </c>
      <c r="G25" s="110">
        <f>SUM(G9:G24)</f>
        <v>30790.908687563402</v>
      </c>
      <c r="H25" s="152">
        <f>G25/$K$26</f>
        <v>0.24861149873119348</v>
      </c>
      <c r="I25" s="110">
        <f>SUM(I9:I24)</f>
        <v>48597.996348330002</v>
      </c>
      <c r="J25" s="152">
        <f>I25/$K$26</f>
        <v>0.39238922209435723</v>
      </c>
      <c r="K25" s="158">
        <f>SUM(K9:K24)</f>
        <v>123851.50664674402</v>
      </c>
      <c r="L25" s="111">
        <f>SUM(L9:L24)</f>
        <v>0.99999999999999978</v>
      </c>
    </row>
    <row r="26" spans="1:12" ht="15.75" thickBot="1">
      <c r="A26" s="235" t="s">
        <v>165</v>
      </c>
      <c r="B26" s="236"/>
      <c r="C26" s="112">
        <f>C25</f>
        <v>15125.871365050201</v>
      </c>
      <c r="D26" s="126">
        <f>D25</f>
        <v>0.12212908647282775</v>
      </c>
      <c r="E26" s="113">
        <f>E25+C26</f>
        <v>44462.601610850608</v>
      </c>
      <c r="F26" s="128">
        <f>D26+F25</f>
        <v>0.35899927917444918</v>
      </c>
      <c r="G26" s="113">
        <f>G25+E26</f>
        <v>75253.51029841401</v>
      </c>
      <c r="H26" s="128">
        <f>F26+H25</f>
        <v>0.60761077790564266</v>
      </c>
      <c r="I26" s="113">
        <f>I25+G26</f>
        <v>123851.506646744</v>
      </c>
      <c r="J26" s="128">
        <f>H26+J25</f>
        <v>0.99999999999999989</v>
      </c>
      <c r="K26" s="237">
        <f>Orçamento!I167</f>
        <v>123851.50664674402</v>
      </c>
      <c r="L26" s="238"/>
    </row>
    <row r="27" spans="1:12" ht="39.75" customHeight="1" thickBot="1">
      <c r="A27" s="226"/>
      <c r="B27" s="227"/>
      <c r="C27" s="228" t="s">
        <v>166</v>
      </c>
      <c r="D27" s="229"/>
      <c r="E27" s="229"/>
      <c r="F27" s="229"/>
      <c r="G27" s="123"/>
      <c r="H27" s="131"/>
      <c r="I27" s="123"/>
      <c r="J27" s="131"/>
      <c r="K27" s="229"/>
      <c r="L27" s="230"/>
    </row>
  </sheetData>
  <mergeCells count="21">
    <mergeCell ref="A1:L1"/>
    <mergeCell ref="C6:J6"/>
    <mergeCell ref="G7:H7"/>
    <mergeCell ref="I7:J7"/>
    <mergeCell ref="A6:A8"/>
    <mergeCell ref="B6:B8"/>
    <mergeCell ref="K6:L7"/>
    <mergeCell ref="C7:D7"/>
    <mergeCell ref="E7:F7"/>
    <mergeCell ref="A2:F2"/>
    <mergeCell ref="A3:F3"/>
    <mergeCell ref="A4:F4"/>
    <mergeCell ref="K4:L5"/>
    <mergeCell ref="A5:E5"/>
    <mergeCell ref="A27:B27"/>
    <mergeCell ref="C27:F27"/>
    <mergeCell ref="K27:L27"/>
    <mergeCell ref="A9:J9"/>
    <mergeCell ref="A25:B25"/>
    <mergeCell ref="A26:B26"/>
    <mergeCell ref="K26:L26"/>
  </mergeCells>
  <pageMargins left="0.51181102362204722" right="0.31496062992125984" top="0.78740157480314965" bottom="0.7874015748031496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Planejamento00</cp:lastModifiedBy>
  <cp:lastPrinted>2021-10-26T16:40:30Z</cp:lastPrinted>
  <dcterms:created xsi:type="dcterms:W3CDTF">2015-09-18T14:32:25Z</dcterms:created>
  <dcterms:modified xsi:type="dcterms:W3CDTF">2021-11-29T11:35:53Z</dcterms:modified>
</cp:coreProperties>
</file>