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pografia\DOCUMENTOS PLANEJAMENTO\PROJETOS\PRAÇAS E QUADRAS\Praça Mauricio Foitte\Reforma 2020\"/>
    </mc:Choice>
  </mc:AlternateContent>
  <bookViews>
    <workbookView xWindow="360" yWindow="855" windowWidth="12120" windowHeight="8100"/>
  </bookViews>
  <sheets>
    <sheet name="Orçamento" sheetId="3" r:id="rId1"/>
    <sheet name="Cronograma" sheetId="2" r:id="rId2"/>
  </sheets>
  <definedNames>
    <definedName name="_xlnm.Print_Area" localSheetId="1">Cronograma!$A$1:$L$20</definedName>
    <definedName name="_xlnm.Print_Area" localSheetId="0">Orçamento!$A$1:$H$127</definedName>
    <definedName name="Texto1" localSheetId="0">Orçamento!#REF!</definedName>
    <definedName name="Texto10" localSheetId="0">Orçamento!#REF!</definedName>
    <definedName name="Texto12" localSheetId="0">Orçamento!#REF!</definedName>
    <definedName name="Texto13" localSheetId="0">Orçamento!#REF!</definedName>
    <definedName name="Texto14" localSheetId="0">Orçamento!#REF!</definedName>
    <definedName name="Texto15" localSheetId="0">Orçamento!#REF!</definedName>
    <definedName name="Texto16" localSheetId="0">Orçamento!#REF!</definedName>
    <definedName name="Texto2" localSheetId="0">Orçamento!#REF!</definedName>
    <definedName name="Texto3" localSheetId="0">Orçamento!$G$2</definedName>
    <definedName name="Texto4" localSheetId="0">Orçamento!$A$4</definedName>
    <definedName name="Texto42" localSheetId="0">Orçamento!#REF!</definedName>
    <definedName name="Texto43" localSheetId="0">Orçamento!#REF!</definedName>
    <definedName name="Texto5" localSheetId="0">Orçamento!#REF!</definedName>
    <definedName name="Texto7" localSheetId="0">Orçamento!#REF!</definedName>
    <definedName name="Texto8" localSheetId="0">Orçamento!#REF!</definedName>
    <definedName name="Texto9" localSheetId="0">Orçamento!#REF!</definedName>
  </definedNames>
  <calcPr calcId="152511"/>
  <fileRecoveryPr autoRecover="0"/>
</workbook>
</file>

<file path=xl/calcChain.xml><?xml version="1.0" encoding="utf-8"?>
<calcChain xmlns="http://schemas.openxmlformats.org/spreadsheetml/2006/main">
  <c r="H124" i="3" l="1"/>
  <c r="H118" i="3"/>
  <c r="H111" i="3"/>
  <c r="H105" i="3"/>
  <c r="H90" i="3"/>
  <c r="H79" i="3"/>
  <c r="H57" i="3"/>
  <c r="H19" i="3"/>
  <c r="G14" i="3"/>
  <c r="H14" i="3"/>
  <c r="G104" i="3" l="1"/>
  <c r="H104" i="3" s="1"/>
  <c r="B17" i="2"/>
  <c r="B16" i="2"/>
  <c r="B15" i="2"/>
  <c r="B14" i="2"/>
  <c r="B13" i="2"/>
  <c r="B12" i="2"/>
  <c r="B11" i="2"/>
  <c r="B10" i="2"/>
  <c r="B9" i="2"/>
  <c r="E13" i="3"/>
  <c r="G13" i="3" l="1"/>
  <c r="H13" i="3" s="1"/>
  <c r="G18" i="3"/>
  <c r="H18" i="3" s="1"/>
  <c r="G96" i="3"/>
  <c r="H96" i="3" s="1"/>
  <c r="G97" i="3"/>
  <c r="H97" i="3" s="1"/>
  <c r="G98" i="3"/>
  <c r="H98" i="3" s="1"/>
  <c r="G99" i="3"/>
  <c r="H99" i="3" s="1"/>
  <c r="G100" i="3"/>
  <c r="H100" i="3" s="1"/>
  <c r="G101" i="3"/>
  <c r="H101" i="3" s="1"/>
  <c r="G102" i="3"/>
  <c r="H102" i="3" s="1"/>
  <c r="E88" i="3" l="1"/>
  <c r="E89" i="3" s="1"/>
  <c r="E87" i="3"/>
  <c r="E41" i="3" l="1"/>
  <c r="E42" i="3"/>
  <c r="E43" i="3"/>
  <c r="E44" i="3"/>
  <c r="E45" i="3"/>
  <c r="G78" i="3" l="1"/>
  <c r="H78" i="3" s="1"/>
  <c r="G77" i="3"/>
  <c r="H77" i="3" s="1"/>
  <c r="E40" i="3"/>
  <c r="G75" i="3"/>
  <c r="H75" i="3" s="1"/>
  <c r="E52" i="3"/>
  <c r="E65" i="3"/>
  <c r="E64" i="3"/>
  <c r="G64" i="3" s="1"/>
  <c r="H64" i="3" s="1"/>
  <c r="E35" i="3" l="1"/>
  <c r="E31" i="3"/>
  <c r="E32" i="3"/>
  <c r="E33" i="3"/>
  <c r="E34" i="3"/>
  <c r="E26" i="3"/>
  <c r="G26" i="3" s="1"/>
  <c r="E25" i="3"/>
  <c r="E51" i="3"/>
  <c r="E50" i="3"/>
  <c r="E47" i="3"/>
  <c r="E23" i="3"/>
  <c r="E24" i="3"/>
  <c r="E49" i="3" l="1"/>
  <c r="E48" i="3"/>
  <c r="E74" i="3"/>
  <c r="G74" i="3" s="1"/>
  <c r="E63" i="3"/>
  <c r="G65" i="3"/>
  <c r="H65" i="3" s="1"/>
  <c r="E53" i="3"/>
  <c r="E55" i="3" s="1"/>
  <c r="G55" i="3" l="1"/>
  <c r="H55" i="3" s="1"/>
  <c r="E110" i="3"/>
  <c r="E54" i="3"/>
  <c r="G54" i="3" s="1"/>
  <c r="H54" i="3" s="1"/>
  <c r="H74" i="3"/>
  <c r="G110" i="3" l="1"/>
  <c r="H110" i="3" s="1"/>
  <c r="E109" i="3"/>
  <c r="G109" i="3" s="1"/>
  <c r="H109" i="3" s="1"/>
  <c r="E68" i="3"/>
  <c r="E67" i="3" s="1"/>
  <c r="G84" i="3"/>
  <c r="H84" i="3" s="1"/>
  <c r="G85" i="3"/>
  <c r="G86" i="3"/>
  <c r="H86" i="3" s="1"/>
  <c r="G87" i="3"/>
  <c r="H87" i="3" s="1"/>
  <c r="G88" i="3"/>
  <c r="H88" i="3" s="1"/>
  <c r="G89" i="3"/>
  <c r="H89" i="3" s="1"/>
  <c r="E73" i="3"/>
  <c r="G63" i="3"/>
  <c r="H63" i="3" s="1"/>
  <c r="H85" i="3" l="1"/>
  <c r="G52" i="3"/>
  <c r="H52" i="3" s="1"/>
  <c r="G47" i="3"/>
  <c r="H47" i="3" s="1"/>
  <c r="G48" i="3"/>
  <c r="H48" i="3" s="1"/>
  <c r="G49" i="3"/>
  <c r="H49" i="3" s="1"/>
  <c r="G50" i="3"/>
  <c r="H50" i="3" s="1"/>
  <c r="G51" i="3"/>
  <c r="H51" i="3" s="1"/>
  <c r="G53" i="3"/>
  <c r="H53" i="3" s="1"/>
  <c r="G56" i="3"/>
  <c r="H56" i="3" s="1"/>
  <c r="G41" i="3"/>
  <c r="H41" i="3" s="1"/>
  <c r="G42" i="3"/>
  <c r="H42" i="3" s="1"/>
  <c r="G43" i="3"/>
  <c r="H43" i="3" s="1"/>
  <c r="G44" i="3"/>
  <c r="H44" i="3" s="1"/>
  <c r="G45" i="3"/>
  <c r="H45" i="3" s="1"/>
  <c r="G40" i="3"/>
  <c r="H40" i="3" s="1"/>
  <c r="G35" i="3"/>
  <c r="H35" i="3" s="1"/>
  <c r="G34" i="3"/>
  <c r="H34" i="3" s="1"/>
  <c r="G33" i="3"/>
  <c r="H33" i="3" s="1"/>
  <c r="G32" i="3"/>
  <c r="H32" i="3" s="1"/>
  <c r="G31" i="3"/>
  <c r="H31" i="3" s="1"/>
  <c r="G28" i="3"/>
  <c r="H28" i="3" s="1"/>
  <c r="G29" i="3"/>
  <c r="H29" i="3" s="1"/>
  <c r="G27" i="3"/>
  <c r="H27" i="3" s="1"/>
  <c r="G23" i="3"/>
  <c r="H23" i="3" s="1"/>
  <c r="G36" i="3"/>
  <c r="H36" i="3" s="1"/>
  <c r="G37" i="3"/>
  <c r="H37" i="3" s="1"/>
  <c r="G38" i="3"/>
  <c r="H38" i="3" s="1"/>
  <c r="E61" i="3" l="1"/>
  <c r="G93" i="3" l="1"/>
  <c r="H93" i="3" s="1"/>
  <c r="G94" i="3"/>
  <c r="H94" i="3" s="1"/>
  <c r="G95" i="3"/>
  <c r="H95" i="3" s="1"/>
  <c r="E17" i="3" l="1"/>
  <c r="G17" i="3" s="1"/>
  <c r="H17" i="3" s="1"/>
  <c r="K10" i="2" s="1"/>
  <c r="I10" i="2" l="1"/>
  <c r="G10" i="2"/>
  <c r="G19" i="3"/>
  <c r="E71" i="3" l="1"/>
  <c r="G71" i="3" s="1"/>
  <c r="H71" i="3" s="1"/>
  <c r="G70" i="3"/>
  <c r="H70" i="3" s="1"/>
  <c r="G68" i="3"/>
  <c r="H68" i="3" s="1"/>
  <c r="G61" i="3"/>
  <c r="G62" i="3"/>
  <c r="H62" i="3" s="1"/>
  <c r="H61" i="3" l="1"/>
  <c r="G67" i="3"/>
  <c r="H67" i="3" s="1"/>
  <c r="G69" i="3" l="1"/>
  <c r="E108" i="3"/>
  <c r="H69" i="3" l="1"/>
  <c r="G83" i="3" l="1"/>
  <c r="H83" i="3" s="1"/>
  <c r="G82" i="3"/>
  <c r="H82" i="3" l="1"/>
  <c r="G90" i="3"/>
  <c r="K13" i="2" l="1"/>
  <c r="G24" i="3"/>
  <c r="H24" i="3" s="1"/>
  <c r="G25" i="3"/>
  <c r="H25" i="3" s="1"/>
  <c r="G13" i="2" l="1"/>
  <c r="I13" i="2"/>
  <c r="G114" i="3"/>
  <c r="H114" i="3" s="1"/>
  <c r="G115" i="3"/>
  <c r="H115" i="3" s="1"/>
  <c r="G116" i="3"/>
  <c r="H116" i="3" s="1"/>
  <c r="G117" i="3"/>
  <c r="H117" i="3" s="1"/>
  <c r="K16" i="2" l="1"/>
  <c r="G103" i="3"/>
  <c r="G108" i="3"/>
  <c r="G111" i="3" s="1"/>
  <c r="I16" i="2" l="1"/>
  <c r="G16" i="2"/>
  <c r="H103" i="3"/>
  <c r="G105" i="3"/>
  <c r="H108" i="3"/>
  <c r="K15" i="2" s="1"/>
  <c r="G118" i="3"/>
  <c r="G121" i="3"/>
  <c r="H121" i="3" s="1"/>
  <c r="H122" i="3" s="1"/>
  <c r="K17" i="2" s="1"/>
  <c r="G73" i="3"/>
  <c r="G79" i="3" s="1"/>
  <c r="G12" i="3"/>
  <c r="H12" i="3" s="1"/>
  <c r="G11" i="3"/>
  <c r="G17" i="2" l="1"/>
  <c r="I17" i="2"/>
  <c r="G15" i="2"/>
  <c r="I15" i="2"/>
  <c r="K14" i="2"/>
  <c r="E17" i="2"/>
  <c r="H73" i="3"/>
  <c r="K12" i="2" s="1"/>
  <c r="G57" i="3"/>
  <c r="H26" i="3"/>
  <c r="K11" i="2" s="1"/>
  <c r="G122" i="3"/>
  <c r="E15" i="2"/>
  <c r="H11" i="3"/>
  <c r="K9" i="2" s="1"/>
  <c r="G11" i="2" l="1"/>
  <c r="I11" i="2"/>
  <c r="G9" i="2"/>
  <c r="I9" i="2"/>
  <c r="G12" i="2"/>
  <c r="I12" i="2"/>
  <c r="I14" i="2"/>
  <c r="G14" i="2"/>
  <c r="E13" i="2"/>
  <c r="E10" i="2"/>
  <c r="I18" i="2" l="1"/>
  <c r="G18" i="2"/>
  <c r="E16" i="2"/>
  <c r="E11" i="2"/>
  <c r="E12" i="2"/>
  <c r="E14" i="2"/>
  <c r="K19" i="2"/>
  <c r="L17" i="2" s="1"/>
  <c r="E9" i="2"/>
  <c r="G19" i="2" l="1"/>
  <c r="H18" i="2"/>
  <c r="J18" i="2"/>
  <c r="E18" i="2"/>
  <c r="F18" i="2" s="1"/>
  <c r="F19" i="2" s="1"/>
  <c r="H19" i="2" s="1"/>
  <c r="J19" i="2" s="1"/>
  <c r="L10" i="2"/>
  <c r="L12" i="2"/>
  <c r="L15" i="2"/>
  <c r="L14" i="2"/>
  <c r="L13" i="2"/>
  <c r="L16" i="2"/>
  <c r="L11" i="2"/>
  <c r="L9" i="2"/>
  <c r="L18" i="2" l="1"/>
  <c r="E19" i="2"/>
  <c r="I19" i="2" s="1"/>
</calcChain>
</file>

<file path=xl/sharedStrings.xml><?xml version="1.0" encoding="utf-8"?>
<sst xmlns="http://schemas.openxmlformats.org/spreadsheetml/2006/main" count="355" uniqueCount="224">
  <si>
    <t>1.0</t>
  </si>
  <si>
    <t>SERVIÇOS INICIAIS</t>
  </si>
  <si>
    <t>PAVIMENTAÇÃO</t>
  </si>
  <si>
    <t>m²</t>
  </si>
  <si>
    <t>m</t>
  </si>
  <si>
    <t>m³</t>
  </si>
  <si>
    <t>Mês 01</t>
  </si>
  <si>
    <t>Mês 02</t>
  </si>
  <si>
    <t>PINTURA</t>
  </si>
  <si>
    <t>Limpeza Geral da Edificação</t>
  </si>
  <si>
    <t>PERÍODO</t>
  </si>
  <si>
    <t>TOTAL</t>
  </si>
  <si>
    <t>R$</t>
  </si>
  <si>
    <t>%</t>
  </si>
  <si>
    <t>TOTAL NO MÊS (SIMPLES)</t>
  </si>
  <si>
    <t>TOTAL NO MÊS (ACUMULADO)</t>
  </si>
  <si>
    <t>MUNICÍPIO: CAMPO ALEGRE</t>
  </si>
  <si>
    <t xml:space="preserve">PLANILHA DE CRONOGRAMA FÍSICO-FINANCEIRO </t>
  </si>
  <si>
    <t>ITEM</t>
  </si>
  <si>
    <t>DISCRIMINAÇÃO</t>
  </si>
  <si>
    <t>UNID.</t>
  </si>
  <si>
    <t>QUANT.</t>
  </si>
  <si>
    <t>PROJETO:</t>
  </si>
  <si>
    <t>CUSTO UNITÁRIO</t>
  </si>
  <si>
    <t>VALOR TOTAL R$</t>
  </si>
  <si>
    <t>SUBTOTAL</t>
  </si>
  <si>
    <t xml:space="preserve">SERVIÇOS FINAIS </t>
  </si>
  <si>
    <t>BDI</t>
  </si>
  <si>
    <t>VALOR TOTAL</t>
  </si>
  <si>
    <t>VALOR TOTAL C/ BDI</t>
  </si>
  <si>
    <t xml:space="preserve">CÓDIGO (SINAPI) </t>
  </si>
  <si>
    <t>un</t>
  </si>
  <si>
    <t>1.1</t>
  </si>
  <si>
    <t>74209/001</t>
  </si>
  <si>
    <t>Placa de obra em chapa de aço galvanizado 1,0x1,5m</t>
  </si>
  <si>
    <t>__________________________________________</t>
  </si>
  <si>
    <t>______________________________________</t>
  </si>
  <si>
    <t>Localização:</t>
  </si>
  <si>
    <t>PLANILHA DE ORÇAMENTO ESTIMATIVO</t>
  </si>
  <si>
    <t>1.2</t>
  </si>
  <si>
    <t>74077/002</t>
  </si>
  <si>
    <t>Locação de Obra</t>
  </si>
  <si>
    <t>6.0</t>
  </si>
  <si>
    <t>9.0</t>
  </si>
  <si>
    <t xml:space="preserve">MOBILIÁRIO </t>
  </si>
  <si>
    <t>6.2</t>
  </si>
  <si>
    <t>72947</t>
  </si>
  <si>
    <t xml:space="preserve">Sinalização horizontal com tinta retroreflexiva à base de resina acrílica com microesferas de vidro </t>
  </si>
  <si>
    <t>und</t>
  </si>
  <si>
    <t>PAISAGISMO</t>
  </si>
  <si>
    <t>ILUMINAÇÃO</t>
  </si>
  <si>
    <t>Rele fotoelétrico p/ comando de iluminação externa 220v/1000w - fornecimento e instalação</t>
  </si>
  <si>
    <t>7.0</t>
  </si>
  <si>
    <t>PROJETO: PRAÇA MAURÍCIO FOITTE</t>
  </si>
  <si>
    <t>Tubos de 100mm para drenos - 10x</t>
  </si>
  <si>
    <t>Forma de madeira - com reaproveitamento</t>
  </si>
  <si>
    <t>4.0</t>
  </si>
  <si>
    <t>4.1</t>
  </si>
  <si>
    <t>4.2</t>
  </si>
  <si>
    <t>2.0</t>
  </si>
  <si>
    <t>DEMOLIÇÃO</t>
  </si>
  <si>
    <t>4.3</t>
  </si>
  <si>
    <t>Execução de pav. em piso intertravado, com bloco sextavado de 25 x 25 cm, espessura de 8 cm. AF_12/2015</t>
  </si>
  <si>
    <t>9.1</t>
  </si>
  <si>
    <t>6.1</t>
  </si>
  <si>
    <t>2.1</t>
  </si>
  <si>
    <t>5.0</t>
  </si>
  <si>
    <t>5.1</t>
  </si>
  <si>
    <t>5.2</t>
  </si>
  <si>
    <t>5.4</t>
  </si>
  <si>
    <t>5.5</t>
  </si>
  <si>
    <t>5.6</t>
  </si>
  <si>
    <t>5.7</t>
  </si>
  <si>
    <t>5.8</t>
  </si>
  <si>
    <t>8.0</t>
  </si>
  <si>
    <t>8.1</t>
  </si>
  <si>
    <t>Escalada e escorregador</t>
  </si>
  <si>
    <t>Mini anfiteatro</t>
  </si>
  <si>
    <t>Assentamento de guia (meio-fio) concreto, moldada in loco em trecho reto, confeccionada em concreto pré-fabicado, dimensões 1000x15x13x30 cm (comprimento x base inf x base dup x altura) para vias urbanas (uso viário) AF_06/2016</t>
  </si>
  <si>
    <t>Arruamento</t>
  </si>
  <si>
    <t>Pista de caminhada</t>
  </si>
  <si>
    <t>Calçadas</t>
  </si>
  <si>
    <t>Play infantil e caixa de areia</t>
  </si>
  <si>
    <t>Ref: SINAPI DEZ 2019</t>
  </si>
  <si>
    <t xml:space="preserve"> Av. Getúlio Vargas</t>
  </si>
  <si>
    <t>Armação de pilar ou viga de uma estrutura convencional de concreto armado em um edifício de múltiplos pavimentos utilizando aço ca-50 de 8,0mm - montagem. Af_12/2015</t>
  </si>
  <si>
    <t>Armação de pilar ou viga de uma estrutura convencional de concreto armado em um edifício de múltiplos pavimentos utilizando aço ca-50 de 6,3m m - montagem. Af_12/2015</t>
  </si>
  <si>
    <t>kg</t>
  </si>
  <si>
    <t>Concreto FCK = 25mpa, traço 1:2,3:2,7 (cimento/ areia média/ brita 1)- preparo mecânico com betoneira 400 l. Af_07/2016</t>
  </si>
  <si>
    <t>Fabricação, montagem e desmontagem de fôrma para viga baldrame, em madeira serrada, e=25 mm, 4 utilizações. Af_06/2017</t>
  </si>
  <si>
    <t>Vigas - Baldrame h=0,20m</t>
  </si>
  <si>
    <t>Tela soldada revestida verde tipo fortinet h = 1,02m, com palanque metalico chumbado a cada 2,0m dim = 3x4x125cm e arames para fixação</t>
  </si>
  <si>
    <t>Tela soldada revestida verde tipo fortinet h = 1,53m, com palanque metalico chumbado a cada 2,0m dim = 3x4x125cm e arames para fixação</t>
  </si>
  <si>
    <t>Portão com estrutura de ferro e tela soldada tipo fortinet h=1,02m, largura 0,80m</t>
  </si>
  <si>
    <t xml:space="preserve">CERCAS E EQUIPAMENTOS DE CONCRETO </t>
  </si>
  <si>
    <t>Escavação manual de viga de borda para radier. Af_09/2017</t>
  </si>
  <si>
    <t>Guarda-corpo de aço galvanizado de 1,10m, com corrimão, montantes tubulares de 1.1/4" espaçados de 1,20m, travessa superior de 1.1/2", gradil formado por tubos horizontais de 1" e verticais de 3/4", fixado com chumbador mecânico. Af_04/2019_p</t>
  </si>
  <si>
    <t>Chapisco aplicado em alvenarias e estruturas de concreto internas, com colher de pedreiro. Argamassa traço 1:3 com preparo em betoneira 400l. Af_06/2014</t>
  </si>
  <si>
    <t>Emboço ou massa única em argamassa traço 1:2:8, preparo manual, aplicada manualmente em panos de fachada com presença de vãos, espessura de 25 mm. Af_06/2014</t>
  </si>
  <si>
    <t>Demolição e remoção de lajes (calçadas), de forma manual,  sem reaproveitamento. AF_12/2017</t>
  </si>
  <si>
    <t>Travessias elevadas, em concreto fck=25MPa com fibra, h=12cm (nivel das calçadas) (colocar tubos de 63mm nas laterais)</t>
  </si>
  <si>
    <t>Piso em concreto 20 Mpa, com fibra, preparo mecanico, espessura 7cm, incluso juntas de dilatação em poliuretano 2x2m</t>
  </si>
  <si>
    <t>Piso em concreto 20 Mpa, com fibra, preparo mecanico, espessura 12cm, incluso juntas de dilatação em poliuretano 2x2m</t>
  </si>
  <si>
    <t>Distribuição, alisamento e acabamento polido tipo aveludado - para pista de caminhada</t>
  </si>
  <si>
    <t>Alvenaria de vedação de blocos vazados de concreto de 9x19x39cm (espessura 9cm) de paredes com área líquida menor que 6m² sem vãos e argamassa de assentamento com preparo em betoneira. Af_06/2014 (escorregador)</t>
  </si>
  <si>
    <t>Execução de passeio (calçada) e piso de concreto (pátio) moldado in loco, usinado, acabamento convencional, espessura de 7 cm, não armado. Af_07/2016 (calçadas da rua, calçada ao lado da academia ao ar livre, mini anfiteatro e parquinho)</t>
  </si>
  <si>
    <t>Retirada de pedras e canteiros</t>
  </si>
  <si>
    <t>Vaga PNE, em concreto fck=25MPa com fibra, h=12cm</t>
  </si>
  <si>
    <t>Piso em granilite, marmorite ou granitina espessura 8 mm, incluso juntas de dilatacao plasticas (parte fundo  mini anfitetro)</t>
  </si>
  <si>
    <t>Piso em granilite, marmorite ou granitina espessura 8 mm, incluso juntas de dilatacao plasticas (Escalada e escorregador)</t>
  </si>
  <si>
    <t>3.0</t>
  </si>
  <si>
    <t>8.2</t>
  </si>
  <si>
    <t>8.3</t>
  </si>
  <si>
    <t>8.4</t>
  </si>
  <si>
    <t>6.3</t>
  </si>
  <si>
    <t>6.4</t>
  </si>
  <si>
    <t>6.5</t>
  </si>
  <si>
    <t>6.6</t>
  </si>
  <si>
    <t>6.7</t>
  </si>
  <si>
    <t>6.8</t>
  </si>
  <si>
    <t>5.3</t>
  </si>
  <si>
    <t>4.1.1</t>
  </si>
  <si>
    <t>Banco de concreto armado, execução de estruturas de concreto armado, FCK = 25 MPA. Af_01/2017 - espessura do assento de 10cm, 5 pés de 20 cm de largura x 40cm de profundidade.</t>
  </si>
  <si>
    <t>Reforma de equipamentos da academia de melhor idade</t>
  </si>
  <si>
    <t>Limpeza do monumento</t>
  </si>
  <si>
    <t>4.2.1</t>
  </si>
  <si>
    <t>4.2.2</t>
  </si>
  <si>
    <t>4.2.3</t>
  </si>
  <si>
    <t>4.2.4</t>
  </si>
  <si>
    <t>4.2.5</t>
  </si>
  <si>
    <t>4.1.2</t>
  </si>
  <si>
    <t>4.1.3</t>
  </si>
  <si>
    <t>4.1.4</t>
  </si>
  <si>
    <t>4.1.5</t>
  </si>
  <si>
    <t>4.3.1</t>
  </si>
  <si>
    <t>4.3.2</t>
  </si>
  <si>
    <t>4.3.3</t>
  </si>
  <si>
    <t>4.4</t>
  </si>
  <si>
    <t>Parque existente</t>
  </si>
  <si>
    <t>Aterro para nivelamento da grama - 70% areia e 30% terra adubada</t>
  </si>
  <si>
    <t>4.4.1</t>
  </si>
  <si>
    <t>4.4.2</t>
  </si>
  <si>
    <t>Dreno - ralo com grelha metalica e tubo de 50mm</t>
  </si>
  <si>
    <t>Garra colorida para escalada</t>
  </si>
  <si>
    <t>Pinturas lúdicas sobre piso de cocreto</t>
  </si>
  <si>
    <t>Playground infantil de 0-3 anos com 2 torres, escorregador e balaço, ref. MKP0208 Krenke ou similar de igual qualidade</t>
  </si>
  <si>
    <t>Reforma das gangorras em madeira e ferro</t>
  </si>
  <si>
    <t>Kit com 2 balanços ferro ou madeira ref: P-60 krenke ou similar de igual qualidade</t>
  </si>
  <si>
    <t>Cavalo de platico sobre mola de aço galvanizado  diam. 20mm ref: KM 70 Krenke ou similar de igual qualidade</t>
  </si>
  <si>
    <t>Dietis Bicolor</t>
  </si>
  <si>
    <t>Pennisetum setaceum (capim do texas roxo)</t>
  </si>
  <si>
    <t>Eletroduto corrugado Ø3" em PEAD conforme NBR 13.897</t>
  </si>
  <si>
    <t>Cabo de Cobre, #6,0mm², Isolação HEPR 90°C, 1kV, Classe de encordoamento 5, PRETO, Antichama, Sem chumbo. NBRNM 280.</t>
  </si>
  <si>
    <t>Cabo de Cobre, #6,0mm², Isolação HEPR 90°C, 1kV, Classe de encordoamento 5, BRANCO, Antichama, Sem chumbo. NBR NM 280.</t>
  </si>
  <si>
    <t>Cabo de Cobre, #6,0mm², Isolação HEPR 90°C, 1kV, Classe de encordoamento 5, VERMELHO, Antichama, Sem chumbo. NBR NM 280.</t>
  </si>
  <si>
    <t>Caixa de passagem de concreto Ø30x30cm, com tampa de concreto</t>
  </si>
  <si>
    <t>Instalação de postes ornamentais, conforme instalados ao lado da pista de skate. Poste em tubo de alumínio, com flange, pintura eletrostática na cor dourado craqueado, 4 metros de altura, arabesco decorativo como suporte da luminária, luminária em globo leitoso com bocal E27, conforme memorial descritivo. Equipado com lâmpada fluorescente com reator integrado, formato espiral, 90W, 220V, IRC &gt;80, base E-40, vida mediana de 6.000h. Incluso base de concreto Ø30x30cm e caixa de passagem de concreto Ø30x30 cm, com tampa de concreto.</t>
  </si>
  <si>
    <t>74220/001</t>
  </si>
  <si>
    <t>1.3</t>
  </si>
  <si>
    <t>Tapume de chapa de madeira compensada, e= 6mm, com pintura a cal  - verificar a necessidade de instalação na execução de alguns equipamentos</t>
  </si>
  <si>
    <t>7.1</t>
  </si>
  <si>
    <t>7.2</t>
  </si>
  <si>
    <t>7.3</t>
  </si>
  <si>
    <t>Aplicação manual de fundo selador acrílico em paredes externas de casas. Af_06/2014</t>
  </si>
  <si>
    <t>88415</t>
  </si>
  <si>
    <t>Aplicação manual de pintura com tinta látex acrílica em paredes, duas demãos. Af_06/2014</t>
  </si>
  <si>
    <t>88489</t>
  </si>
  <si>
    <t>LOCALIZAÇÃO:  Rua Dr. Getulio Vargas, bairro Centro</t>
  </si>
  <si>
    <t>85179</t>
  </si>
  <si>
    <t>Plantio de grama São Carlos em leivas - inclusive preparo de solo</t>
  </si>
  <si>
    <t>Fornecimento e implantação de placa de regulamentação em aço,  - película retrorrefletiva tipo I e SI</t>
  </si>
  <si>
    <t>UND</t>
  </si>
  <si>
    <t>Fornecimento e implantação de suporte metálico galvanizado</t>
  </si>
  <si>
    <t>Mês 03</t>
  </si>
  <si>
    <t>NOME E Nº CREA DO RESPONSÁVEL TÉCNICO:         Bruno Seefeld   CREA-SC -   114853-4</t>
  </si>
  <si>
    <t>Refletor LED 50w branco frio 5600 lumens frio prova d’água - instalado no chão virado para as árvores</t>
  </si>
  <si>
    <t>Lixeira de madeira e cesto de plastico reciclado</t>
  </si>
  <si>
    <t>6.9</t>
  </si>
  <si>
    <t>6.10</t>
  </si>
  <si>
    <t>6.11</t>
  </si>
  <si>
    <t>6.12</t>
  </si>
  <si>
    <t>2.2</t>
  </si>
  <si>
    <t>3.1</t>
  </si>
  <si>
    <t>3.1.1</t>
  </si>
  <si>
    <t>3.1.2</t>
  </si>
  <si>
    <t>3.1.3</t>
  </si>
  <si>
    <t>3.1.4</t>
  </si>
  <si>
    <t>3.1.5</t>
  </si>
  <si>
    <t>3.1.6</t>
  </si>
  <si>
    <t>3.1.7</t>
  </si>
  <si>
    <t>3.2</t>
  </si>
  <si>
    <t>3.2.1</t>
  </si>
  <si>
    <t>3.2.2</t>
  </si>
  <si>
    <t>3.2.3</t>
  </si>
  <si>
    <t>3.2.4</t>
  </si>
  <si>
    <t>3.2.5</t>
  </si>
  <si>
    <t>3.2.6</t>
  </si>
  <si>
    <t>3.2.7</t>
  </si>
  <si>
    <t>3.2.8</t>
  </si>
  <si>
    <t>3.3</t>
  </si>
  <si>
    <t>3.3.1</t>
  </si>
  <si>
    <t>3.3.2</t>
  </si>
  <si>
    <t>3.3.3</t>
  </si>
  <si>
    <t>3.3.4</t>
  </si>
  <si>
    <t>3.3.5</t>
  </si>
  <si>
    <t>3.3.6</t>
  </si>
  <si>
    <t>3.4</t>
  </si>
  <si>
    <t>3.4.1</t>
  </si>
  <si>
    <t>3.4.2</t>
  </si>
  <si>
    <t>3.4.3</t>
  </si>
  <si>
    <t>3.4.4</t>
  </si>
  <si>
    <t>3.4.5</t>
  </si>
  <si>
    <t>3.4.6</t>
  </si>
  <si>
    <t>3.4.7</t>
  </si>
  <si>
    <t>3.4.8</t>
  </si>
  <si>
    <t>3.4.9</t>
  </si>
  <si>
    <t>3.4.10</t>
  </si>
  <si>
    <t>MERCADO</t>
  </si>
  <si>
    <t>REVITALIZAÇÃO DA PRAÇA MAURÍCIO FOITTE</t>
  </si>
  <si>
    <t>Distribuição, alisamento e acabamento polido tipo aveludado - (calçadas da rua, calçada ao lado da academia ao ar livre, mini anfiteatro e parquinho)</t>
  </si>
  <si>
    <t>Playground com minímo de 2 torres com escorregador curvo e reto, ponte, rampa de escalada ref: KMP 0304 Krenke ou similar de igual gualidade</t>
  </si>
  <si>
    <t>Mini circuito de equilibrio em meia tora (diametro 20cm) com apoios e travessão (2 pilares e 1 viga diametro 20cm) com altura de 2,10m, comprimento de 3,00m, com 4 cordas com nós - eucalíto autoclavado</t>
  </si>
  <si>
    <t>Banco de madeira plastica e ferro, com encosto - compr. 1,50m</t>
  </si>
  <si>
    <t>Handroanthus impetiginosus muda de no mínimo de 2,20m (ipê rosa)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</si>
</sst>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R$ &quot;* #,##0.00_);_(&quot;R$ &quot;* \(#,##0.00\);_(&quot;R$ &quot;* &quot;-&quot;??_);_(@_)"/>
    <numFmt numFmtId="165" formatCode="_(* #,##0.00_);_(* \(#,##0.00\);_(* &quot;-&quot;??_);_(@_)"/>
    <numFmt numFmtId="166" formatCode="&quot;R$ &quot;#,##0.00"/>
    <numFmt numFmtId="167" formatCode="&quot;R$&quot;\ #,##0.00"/>
    <numFmt numFmtId="168" formatCode="0.0%"/>
  </numFmts>
  <fonts count="25" x14ac:knownFonts="1">
    <font>
      <sz val="10"/>
      <name val="Arial"/>
    </font>
    <font>
      <sz val="10"/>
      <name val="Arial"/>
      <family val="2"/>
    </font>
    <font>
      <b/>
      <sz val="12"/>
      <color indexed="8"/>
      <name val="Arial"/>
      <family val="2"/>
    </font>
    <font>
      <b/>
      <sz val="8"/>
      <color indexed="8"/>
      <name val="Arial"/>
      <family val="2"/>
    </font>
    <font>
      <b/>
      <sz val="16"/>
      <color indexed="8"/>
      <name val="Arial"/>
      <family val="2"/>
    </font>
    <font>
      <sz val="14"/>
      <name val="Arial"/>
      <family val="2"/>
    </font>
    <font>
      <sz val="10"/>
      <name val="Arial"/>
      <family val="2"/>
    </font>
    <font>
      <b/>
      <sz val="10"/>
      <color indexed="8"/>
      <name val="Arial"/>
      <family val="2"/>
    </font>
    <font>
      <sz val="10"/>
      <color indexed="8"/>
      <name val="Arial"/>
      <family val="2"/>
    </font>
    <font>
      <sz val="8"/>
      <name val="Arial"/>
      <family val="2"/>
    </font>
    <font>
      <b/>
      <sz val="10"/>
      <name val="Arial"/>
      <family val="2"/>
    </font>
    <font>
      <b/>
      <sz val="9"/>
      <color indexed="8"/>
      <name val="Arial"/>
      <family val="2"/>
    </font>
    <font>
      <sz val="8"/>
      <name val="Arial"/>
      <family val="2"/>
    </font>
    <font>
      <b/>
      <sz val="8"/>
      <name val="Arial"/>
      <family val="2"/>
    </font>
    <font>
      <b/>
      <sz val="12"/>
      <name val="Arial"/>
      <family val="2"/>
    </font>
    <font>
      <sz val="11"/>
      <name val="Arial"/>
      <family val="2"/>
    </font>
    <font>
      <b/>
      <sz val="11"/>
      <color indexed="8"/>
      <name val="Arial"/>
      <family val="2"/>
    </font>
    <font>
      <sz val="11"/>
      <color rgb="FF000000"/>
      <name val="Arial"/>
      <family val="2"/>
    </font>
    <font>
      <sz val="10"/>
      <color theme="1"/>
      <name val="Arial"/>
      <family val="2"/>
    </font>
    <font>
      <sz val="10"/>
      <color rgb="FF000000"/>
      <name val="Arial"/>
      <family val="2"/>
    </font>
    <font>
      <i/>
      <sz val="13"/>
      <color rgb="FF191716"/>
      <name val="Arial"/>
      <family val="2"/>
    </font>
    <font>
      <sz val="10"/>
      <color rgb="FFFF0000"/>
      <name val="Arial"/>
      <family val="2"/>
    </font>
    <font>
      <b/>
      <sz val="10"/>
      <color rgb="FFFF0000"/>
      <name val="Arial"/>
      <family val="2"/>
    </font>
    <font>
      <b/>
      <sz val="10"/>
      <color theme="1"/>
      <name val="Arial"/>
      <family val="2"/>
    </font>
    <font>
      <sz val="9"/>
      <name val="Arial"/>
      <family val="2"/>
    </font>
  </fonts>
  <fills count="8">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theme="0"/>
        <bgColor indexed="64"/>
      </patternFill>
    </fill>
    <fill>
      <patternFill patternType="solid">
        <fgColor indexed="9"/>
        <bgColor indexed="41"/>
      </patternFill>
    </fill>
    <fill>
      <patternFill patternType="solid">
        <fgColor theme="0"/>
        <bgColor indexed="41"/>
      </patternFill>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8">
    <xf numFmtId="0" fontId="0" fillId="0" borderId="0"/>
    <xf numFmtId="164" fontId="1" fillId="0" borderId="0" applyFont="0" applyFill="0" applyBorder="0" applyAlignment="0" applyProtection="0"/>
    <xf numFmtId="0" fontId="6" fillId="0" borderId="0"/>
    <xf numFmtId="0" fontId="17" fillId="0" borderId="0"/>
    <xf numFmtId="9" fontId="1" fillId="0" borderId="0" applyFont="0" applyFill="0" applyBorder="0" applyAlignment="0" applyProtection="0"/>
    <xf numFmtId="165" fontId="6"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281">
    <xf numFmtId="0" fontId="0" fillId="0" borderId="0" xfId="0"/>
    <xf numFmtId="0" fontId="2" fillId="0" borderId="0" xfId="0" applyFont="1" applyBorder="1" applyAlignment="1">
      <alignment horizontal="left" vertical="center" wrapText="1"/>
    </xf>
    <xf numFmtId="0" fontId="0" fillId="0" borderId="0" xfId="0" applyBorder="1"/>
    <xf numFmtId="49" fontId="5" fillId="0" borderId="0" xfId="0" applyNumberFormat="1" applyFont="1" applyBorder="1" applyAlignment="1">
      <alignment horizontal="center" vertical="center" wrapText="1"/>
    </xf>
    <xf numFmtId="0" fontId="10" fillId="0" borderId="0" xfId="0" applyFont="1"/>
    <xf numFmtId="0" fontId="11" fillId="0" borderId="7" xfId="0" applyFont="1" applyBorder="1" applyAlignment="1">
      <alignment horizontal="left" vertical="top" wrapText="1"/>
    </xf>
    <xf numFmtId="0" fontId="4" fillId="0" borderId="0" xfId="0" applyFont="1" applyBorder="1" applyAlignment="1">
      <alignment horizontal="center" vertical="center" wrapText="1"/>
    </xf>
    <xf numFmtId="0" fontId="11" fillId="0" borderId="9" xfId="0" applyFont="1" applyBorder="1" applyAlignment="1">
      <alignment horizontal="left" vertical="top" wrapText="1"/>
    </xf>
    <xf numFmtId="2" fontId="10" fillId="2" borderId="1" xfId="0" applyNumberFormat="1" applyFont="1" applyFill="1" applyBorder="1" applyAlignment="1">
      <alignment horizontal="center" vertical="center"/>
    </xf>
    <xf numFmtId="0" fontId="10" fillId="2" borderId="1" xfId="0" applyFont="1" applyFill="1" applyBorder="1" applyAlignment="1">
      <alignment horizontal="left" vertical="center"/>
    </xf>
    <xf numFmtId="0" fontId="10" fillId="2" borderId="1" xfId="0" applyFont="1" applyFill="1" applyBorder="1" applyAlignment="1">
      <alignmen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2" fontId="9" fillId="2" borderId="1" xfId="0" applyNumberFormat="1" applyFont="1" applyFill="1" applyBorder="1" applyAlignment="1">
      <alignment horizontal="center" vertical="center"/>
    </xf>
    <xf numFmtId="0" fontId="9" fillId="0" borderId="0" xfId="0" applyFont="1" applyAlignment="1">
      <alignment horizontal="center" vertical="center"/>
    </xf>
    <xf numFmtId="0" fontId="16" fillId="0" borderId="4" xfId="0" applyFont="1" applyBorder="1" applyAlignment="1">
      <alignment horizontal="center" vertical="center" wrapText="1"/>
    </xf>
    <xf numFmtId="168" fontId="16" fillId="0" borderId="5" xfId="4" applyNumberFormat="1" applyFont="1" applyBorder="1" applyAlignment="1">
      <alignment horizontal="center" vertical="center" wrapText="1"/>
    </xf>
    <xf numFmtId="0" fontId="10" fillId="0" borderId="15" xfId="0" applyFont="1" applyFill="1" applyBorder="1" applyAlignment="1">
      <alignment horizontal="center" vertical="center"/>
    </xf>
    <xf numFmtId="166" fontId="10" fillId="0" borderId="15" xfId="0" applyNumberFormat="1" applyFont="1" applyFill="1" applyBorder="1" applyAlignment="1">
      <alignment horizontal="center" vertical="center" wrapText="1"/>
    </xf>
    <xf numFmtId="0" fontId="10" fillId="2" borderId="16" xfId="0" applyFont="1" applyFill="1" applyBorder="1" applyAlignment="1">
      <alignment horizontal="center" vertical="center"/>
    </xf>
    <xf numFmtId="166" fontId="10" fillId="2" borderId="17" xfId="0" applyNumberFormat="1" applyFont="1" applyFill="1" applyBorder="1" applyAlignment="1">
      <alignment horizontal="center" vertical="center" wrapText="1"/>
    </xf>
    <xf numFmtId="166" fontId="10" fillId="2" borderId="18" xfId="0" applyNumberFormat="1" applyFont="1" applyFill="1" applyBorder="1" applyAlignment="1">
      <alignment horizontal="center" vertical="center" wrapText="1"/>
    </xf>
    <xf numFmtId="167" fontId="10" fillId="2" borderId="17" xfId="0" applyNumberFormat="1" applyFont="1" applyFill="1" applyBorder="1" applyAlignment="1">
      <alignment horizontal="center" vertical="center" wrapText="1"/>
    </xf>
    <xf numFmtId="167" fontId="10" fillId="2" borderId="18" xfId="0" applyNumberFormat="1" applyFont="1" applyFill="1" applyBorder="1" applyAlignment="1">
      <alignment horizontal="center" vertical="center" wrapText="1"/>
    </xf>
    <xf numFmtId="10" fontId="10" fillId="2" borderId="16" xfId="0" applyNumberFormat="1" applyFont="1" applyFill="1" applyBorder="1" applyAlignment="1">
      <alignment horizontal="center" vertical="center" wrapText="1"/>
    </xf>
    <xf numFmtId="0" fontId="10" fillId="4" borderId="20" xfId="0" applyFont="1" applyFill="1" applyBorder="1" applyAlignment="1">
      <alignment horizontal="right" vertical="center" wrapText="1"/>
    </xf>
    <xf numFmtId="0" fontId="10" fillId="4" borderId="15" xfId="0" applyFont="1" applyFill="1" applyBorder="1" applyAlignment="1">
      <alignment horizontal="right" vertical="center" wrapText="1"/>
    </xf>
    <xf numFmtId="166" fontId="14" fillId="4" borderId="6" xfId="0" applyNumberFormat="1" applyFont="1" applyFill="1" applyBorder="1" applyAlignment="1">
      <alignment horizontal="center" vertical="center" wrapText="1"/>
    </xf>
    <xf numFmtId="166" fontId="14" fillId="3" borderId="38"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10" fontId="8" fillId="2" borderId="2" xfId="6" applyNumberFormat="1" applyFont="1" applyFill="1" applyBorder="1" applyAlignment="1">
      <alignment horizontal="center" vertical="center" wrapText="1"/>
    </xf>
    <xf numFmtId="10" fontId="8" fillId="2" borderId="1" xfId="0" applyNumberFormat="1" applyFont="1" applyFill="1" applyBorder="1" applyAlignment="1">
      <alignment vertical="center" wrapText="1"/>
    </xf>
    <xf numFmtId="10" fontId="8" fillId="2" borderId="4" xfId="0" applyNumberFormat="1" applyFont="1" applyFill="1" applyBorder="1" applyAlignment="1">
      <alignment vertical="center" wrapText="1"/>
    </xf>
    <xf numFmtId="10" fontId="8" fillId="2" borderId="1" xfId="0" applyNumberFormat="1" applyFont="1" applyFill="1" applyBorder="1" applyAlignment="1">
      <alignment horizontal="right" vertical="center" wrapText="1"/>
    </xf>
    <xf numFmtId="0" fontId="7" fillId="2" borderId="1" xfId="0" applyFont="1" applyFill="1" applyBorder="1" applyAlignment="1">
      <alignment horizontal="center" vertical="top" wrapText="1"/>
    </xf>
    <xf numFmtId="0" fontId="7" fillId="2" borderId="2" xfId="0" applyFont="1" applyFill="1" applyBorder="1" applyAlignment="1">
      <alignment horizontal="center" vertical="top" wrapText="1"/>
    </xf>
    <xf numFmtId="0" fontId="1" fillId="0" borderId="0" xfId="0" applyFont="1"/>
    <xf numFmtId="0" fontId="1" fillId="0" borderId="0" xfId="0" applyFont="1" applyBorder="1"/>
    <xf numFmtId="0" fontId="1" fillId="0" borderId="3" xfId="0" applyFont="1" applyBorder="1" applyAlignment="1">
      <alignment horizontal="center" vertical="top"/>
    </xf>
    <xf numFmtId="0" fontId="7" fillId="0" borderId="0" xfId="0" applyFont="1" applyBorder="1" applyAlignment="1">
      <alignment vertical="center" wrapText="1"/>
    </xf>
    <xf numFmtId="0" fontId="1" fillId="4" borderId="1" xfId="0" applyFont="1" applyFill="1" applyBorder="1" applyAlignment="1">
      <alignment vertical="center" wrapText="1"/>
    </xf>
    <xf numFmtId="0" fontId="1" fillId="4"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67" fontId="1" fillId="4" borderId="1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2" fillId="0" borderId="27" xfId="0" applyFont="1" applyBorder="1" applyAlignment="1">
      <alignment horizontal="left" vertical="center"/>
    </xf>
    <xf numFmtId="164" fontId="11" fillId="0" borderId="8" xfId="1" applyFont="1" applyBorder="1" applyAlignment="1">
      <alignment horizontal="left" vertical="top" wrapText="1"/>
    </xf>
    <xf numFmtId="164" fontId="11" fillId="0" borderId="6" xfId="1" applyFont="1" applyBorder="1" applyAlignment="1">
      <alignment horizontal="left" vertical="top" wrapText="1"/>
    </xf>
    <xf numFmtId="164" fontId="7" fillId="2" borderId="1" xfId="1" applyFont="1" applyFill="1" applyBorder="1" applyAlignment="1">
      <alignment horizontal="center" vertical="top" wrapText="1"/>
    </xf>
    <xf numFmtId="164" fontId="0" fillId="0" borderId="0" xfId="1" applyFont="1"/>
    <xf numFmtId="0" fontId="1" fillId="0" borderId="3" xfId="0" applyFont="1" applyBorder="1" applyAlignment="1">
      <alignment horizontal="center" vertical="center"/>
    </xf>
    <xf numFmtId="9" fontId="8" fillId="0" borderId="1" xfId="6" applyNumberFormat="1" applyFont="1" applyBorder="1" applyAlignment="1">
      <alignment horizontal="center" vertical="center" wrapText="1"/>
    </xf>
    <xf numFmtId="164" fontId="8" fillId="2" borderId="1" xfId="1" applyFont="1" applyFill="1" applyBorder="1" applyAlignment="1">
      <alignment horizontal="center" vertical="center" wrapText="1"/>
    </xf>
    <xf numFmtId="164" fontId="8" fillId="2" borderId="39" xfId="1" applyFont="1" applyFill="1" applyBorder="1" applyAlignment="1">
      <alignment horizontal="right" vertical="center" wrapText="1"/>
    </xf>
    <xf numFmtId="10" fontId="8" fillId="2" borderId="38" xfId="6" applyNumberFormat="1" applyFont="1" applyFill="1" applyBorder="1" applyAlignment="1">
      <alignment horizontal="center" vertical="center" wrapText="1"/>
    </xf>
    <xf numFmtId="164" fontId="8" fillId="2" borderId="38" xfId="1" applyFont="1" applyFill="1" applyBorder="1" applyAlignment="1">
      <alignment horizontal="right" vertical="center" wrapText="1"/>
    </xf>
    <xf numFmtId="39" fontId="8" fillId="2" borderId="9" xfId="6" applyNumberFormat="1" applyFont="1" applyFill="1" applyBorder="1" applyAlignment="1">
      <alignment horizontal="right" vertical="center" wrapText="1"/>
    </xf>
    <xf numFmtId="164" fontId="1" fillId="4" borderId="1" xfId="1" applyFont="1" applyFill="1" applyBorder="1" applyAlignment="1">
      <alignment horizontal="center" vertical="center"/>
    </xf>
    <xf numFmtId="2" fontId="10" fillId="2" borderId="19" xfId="0" applyNumberFormat="1" applyFont="1" applyFill="1" applyBorder="1" applyAlignment="1">
      <alignment horizontal="center" vertical="center"/>
    </xf>
    <xf numFmtId="0" fontId="10" fillId="2" borderId="19" xfId="0" applyFont="1" applyFill="1" applyBorder="1" applyAlignment="1">
      <alignment vertical="center"/>
    </xf>
    <xf numFmtId="0" fontId="10" fillId="2" borderId="19" xfId="0" applyFont="1" applyFill="1" applyBorder="1" applyAlignment="1">
      <alignment horizontal="center" vertical="center"/>
    </xf>
    <xf numFmtId="2" fontId="1" fillId="4" borderId="1" xfId="0" applyNumberFormat="1" applyFont="1" applyFill="1" applyBorder="1" applyAlignment="1">
      <alignment horizontal="center" vertical="center"/>
    </xf>
    <xf numFmtId="166" fontId="1" fillId="4" borderId="1" xfId="0" applyNumberFormat="1" applyFont="1" applyFill="1" applyBorder="1" applyAlignment="1">
      <alignment horizontal="center" vertical="center" wrapText="1"/>
    </xf>
    <xf numFmtId="0" fontId="19" fillId="4" borderId="1" xfId="0" applyFont="1" applyFill="1" applyBorder="1" applyAlignment="1">
      <alignment vertical="center" wrapText="1"/>
    </xf>
    <xf numFmtId="49" fontId="1" fillId="4" borderId="12" xfId="0" applyNumberFormat="1" applyFont="1" applyFill="1" applyBorder="1" applyAlignment="1">
      <alignment horizontal="center" vertical="center"/>
    </xf>
    <xf numFmtId="0" fontId="20" fillId="0" borderId="1" xfId="0" applyFont="1" applyBorder="1"/>
    <xf numFmtId="0" fontId="10" fillId="4" borderId="15" xfId="0" applyFont="1" applyFill="1" applyBorder="1" applyAlignment="1">
      <alignment horizontal="center" vertical="center" wrapText="1"/>
    </xf>
    <xf numFmtId="0" fontId="1" fillId="4" borderId="1" xfId="2" applyFont="1" applyFill="1" applyBorder="1" applyAlignment="1">
      <alignment horizontal="center" vertical="center"/>
    </xf>
    <xf numFmtId="0" fontId="20" fillId="4" borderId="1" xfId="0" applyFont="1" applyFill="1" applyBorder="1"/>
    <xf numFmtId="164" fontId="10" fillId="4" borderId="20" xfId="1" applyFont="1" applyFill="1" applyBorder="1" applyAlignment="1">
      <alignment horizontal="center" vertical="center"/>
    </xf>
    <xf numFmtId="164" fontId="10" fillId="4" borderId="15" xfId="1" applyFont="1" applyFill="1" applyBorder="1" applyAlignment="1">
      <alignment horizontal="center" vertical="center"/>
    </xf>
    <xf numFmtId="164" fontId="10" fillId="4" borderId="6" xfId="1" applyFont="1" applyFill="1" applyBorder="1" applyAlignment="1">
      <alignment horizontal="center" vertical="center"/>
    </xf>
    <xf numFmtId="164" fontId="10" fillId="2" borderId="16" xfId="1" applyFont="1" applyFill="1" applyBorder="1" applyAlignment="1">
      <alignment horizontal="center" vertical="center"/>
    </xf>
    <xf numFmtId="164" fontId="10" fillId="2" borderId="17" xfId="1" applyFont="1" applyFill="1" applyBorder="1" applyAlignment="1">
      <alignment horizontal="center" vertical="center"/>
    </xf>
    <xf numFmtId="164" fontId="10" fillId="2" borderId="18" xfId="1" applyFont="1" applyFill="1" applyBorder="1" applyAlignment="1">
      <alignment horizontal="center" vertical="center"/>
    </xf>
    <xf numFmtId="164" fontId="10" fillId="4" borderId="19" xfId="1" applyFont="1" applyFill="1" applyBorder="1" applyAlignment="1">
      <alignment horizontal="center" vertical="center"/>
    </xf>
    <xf numFmtId="0" fontId="1" fillId="4" borderId="1" xfId="0" applyFont="1" applyFill="1" applyBorder="1" applyAlignment="1">
      <alignment horizontal="center" vertical="center" wrapText="1"/>
    </xf>
    <xf numFmtId="164" fontId="1" fillId="4" borderId="1" xfId="1" applyFont="1" applyFill="1" applyBorder="1" applyAlignment="1">
      <alignment horizontal="center" vertical="center" wrapText="1"/>
    </xf>
    <xf numFmtId="0" fontId="1" fillId="4" borderId="13" xfId="0" applyFont="1" applyFill="1" applyBorder="1" applyAlignment="1">
      <alignment horizontal="center" vertical="center" wrapText="1"/>
    </xf>
    <xf numFmtId="49" fontId="1" fillId="4" borderId="1" xfId="0" applyNumberFormat="1" applyFont="1" applyFill="1" applyBorder="1" applyAlignment="1">
      <alignment horizontal="center" vertical="center"/>
    </xf>
    <xf numFmtId="164" fontId="8" fillId="0" borderId="1" xfId="1" applyFont="1" applyBorder="1" applyAlignment="1">
      <alignment horizontal="center" vertical="center" wrapText="1"/>
    </xf>
    <xf numFmtId="164" fontId="8" fillId="2" borderId="4" xfId="1" applyFont="1" applyFill="1" applyBorder="1" applyAlignment="1">
      <alignment horizontal="center" vertical="center" wrapText="1"/>
    </xf>
    <xf numFmtId="164" fontId="8" fillId="2" borderId="40" xfId="1" applyFont="1" applyFill="1" applyBorder="1" applyAlignment="1">
      <alignment horizontal="center" vertical="center" wrapText="1"/>
    </xf>
    <xf numFmtId="0" fontId="6" fillId="0" borderId="0" xfId="0" applyFont="1" applyBorder="1" applyAlignment="1"/>
    <xf numFmtId="167" fontId="1" fillId="0" borderId="11" xfId="0" applyNumberFormat="1" applyFont="1" applyFill="1" applyBorder="1" applyAlignment="1">
      <alignment horizontal="center" vertical="center" wrapText="1"/>
    </xf>
    <xf numFmtId="165" fontId="1" fillId="0" borderId="1" xfId="6" applyFont="1" applyFill="1" applyBorder="1" applyAlignment="1">
      <alignment horizontal="center" vertical="center"/>
    </xf>
    <xf numFmtId="167" fontId="10"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2" fontId="1" fillId="4" borderId="1" xfId="0" applyNumberFormat="1" applyFont="1" applyFill="1" applyBorder="1" applyAlignment="1">
      <alignment horizontal="center" vertical="center" wrapText="1"/>
    </xf>
    <xf numFmtId="2" fontId="1" fillId="0" borderId="19" xfId="0" applyNumberFormat="1" applyFont="1" applyFill="1" applyBorder="1" applyAlignment="1">
      <alignment horizontal="center" vertical="center"/>
    </xf>
    <xf numFmtId="0" fontId="1" fillId="0" borderId="19" xfId="0" applyFont="1" applyFill="1" applyBorder="1" applyAlignment="1">
      <alignment horizontal="center" vertical="center" wrapText="1"/>
    </xf>
    <xf numFmtId="0" fontId="1" fillId="0" borderId="19" xfId="0" applyFont="1" applyFill="1" applyBorder="1" applyAlignment="1">
      <alignment horizontal="left" vertical="center" wrapText="1"/>
    </xf>
    <xf numFmtId="0" fontId="1" fillId="0" borderId="19" xfId="0" applyFont="1" applyFill="1" applyBorder="1" applyAlignment="1">
      <alignment horizontal="center" vertical="center"/>
    </xf>
    <xf numFmtId="165" fontId="1" fillId="0" borderId="42" xfId="6" applyFont="1" applyFill="1" applyBorder="1" applyAlignment="1">
      <alignment horizontal="center" vertical="center"/>
    </xf>
    <xf numFmtId="0" fontId="1" fillId="0" borderId="1" xfId="2" applyFont="1" applyFill="1" applyBorder="1" applyAlignment="1">
      <alignment horizontal="left" vertical="center" wrapText="1"/>
    </xf>
    <xf numFmtId="2" fontId="10" fillId="4" borderId="1" xfId="0" applyNumberFormat="1" applyFont="1" applyFill="1" applyBorder="1" applyAlignment="1">
      <alignment horizontal="center" vertical="center"/>
    </xf>
    <xf numFmtId="2" fontId="9" fillId="4" borderId="1" xfId="0" applyNumberFormat="1" applyFont="1" applyFill="1" applyBorder="1" applyAlignment="1">
      <alignment horizontal="center" vertical="center"/>
    </xf>
    <xf numFmtId="0" fontId="10" fillId="4" borderId="1" xfId="0" applyFont="1" applyFill="1" applyBorder="1" applyAlignment="1">
      <alignment vertical="center" wrapText="1"/>
    </xf>
    <xf numFmtId="0" fontId="1" fillId="4" borderId="1" xfId="2" applyFont="1" applyFill="1" applyBorder="1" applyAlignment="1">
      <alignment horizontal="left" vertical="center" wrapText="1"/>
    </xf>
    <xf numFmtId="2" fontId="10" fillId="4" borderId="1" xfId="0" applyNumberFormat="1" applyFont="1" applyFill="1" applyBorder="1" applyAlignment="1">
      <alignment horizontal="justify" vertical="center" wrapText="1"/>
    </xf>
    <xf numFmtId="0" fontId="10" fillId="4" borderId="1" xfId="0" applyFont="1" applyFill="1" applyBorder="1" applyAlignment="1">
      <alignment vertical="center"/>
    </xf>
    <xf numFmtId="0" fontId="10" fillId="4" borderId="1" xfId="0" applyFont="1" applyFill="1" applyBorder="1" applyAlignment="1">
      <alignment horizontal="center" vertical="center"/>
    </xf>
    <xf numFmtId="0" fontId="10" fillId="4" borderId="11" xfId="0" applyFont="1" applyFill="1" applyBorder="1" applyAlignment="1">
      <alignment horizontal="center" vertical="center"/>
    </xf>
    <xf numFmtId="0" fontId="10" fillId="0" borderId="1" xfId="2" applyFont="1" applyFill="1" applyBorder="1" applyAlignment="1">
      <alignment horizontal="left" vertical="center" wrapText="1"/>
    </xf>
    <xf numFmtId="2" fontId="1" fillId="4" borderId="1" xfId="0" applyNumberFormat="1" applyFont="1" applyFill="1" applyBorder="1" applyAlignment="1">
      <alignment horizontal="justify" vertical="center" wrapText="1"/>
    </xf>
    <xf numFmtId="10" fontId="10" fillId="2" borderId="43" xfId="0" applyNumberFormat="1"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19" xfId="0" applyFont="1" applyFill="1" applyBorder="1" applyAlignment="1">
      <alignment horizontal="center" vertical="center"/>
    </xf>
    <xf numFmtId="166" fontId="1" fillId="0" borderId="6" xfId="0" applyNumberFormat="1" applyFont="1" applyFill="1" applyBorder="1" applyAlignment="1">
      <alignment horizontal="center" vertical="center" wrapText="1"/>
    </xf>
    <xf numFmtId="2" fontId="18" fillId="4" borderId="12"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xf>
    <xf numFmtId="1" fontId="10" fillId="4" borderId="1" xfId="1" applyNumberFormat="1" applyFont="1" applyFill="1" applyBorder="1" applyAlignment="1">
      <alignment horizontal="center" vertical="center"/>
    </xf>
    <xf numFmtId="0" fontId="21" fillId="0" borderId="0" xfId="0" applyFont="1" applyFill="1" applyAlignment="1">
      <alignment vertical="center"/>
    </xf>
    <xf numFmtId="0" fontId="22" fillId="0" borderId="0" xfId="0" applyFont="1" applyFill="1" applyAlignment="1">
      <alignment vertical="center"/>
    </xf>
    <xf numFmtId="0" fontId="10" fillId="0" borderId="0" xfId="0" applyFont="1" applyFill="1" applyAlignment="1">
      <alignment vertical="center"/>
    </xf>
    <xf numFmtId="0" fontId="1" fillId="0" borderId="19" xfId="0" applyFont="1" applyFill="1" applyBorder="1" applyAlignment="1">
      <alignment vertical="center" wrapText="1"/>
    </xf>
    <xf numFmtId="165" fontId="1" fillId="0" borderId="6" xfId="6" applyFont="1" applyFill="1" applyBorder="1" applyAlignment="1">
      <alignment horizontal="center" vertical="center"/>
    </xf>
    <xf numFmtId="167" fontId="10" fillId="2" borderId="44" xfId="0" applyNumberFormat="1" applyFont="1" applyFill="1" applyBorder="1" applyAlignment="1">
      <alignment horizontal="center" vertical="center" wrapText="1"/>
    </xf>
    <xf numFmtId="166" fontId="10" fillId="2" borderId="15" xfId="0" applyNumberFormat="1" applyFont="1" applyFill="1" applyBorder="1" applyAlignment="1">
      <alignment horizontal="center" vertical="center" wrapText="1"/>
    </xf>
    <xf numFmtId="166" fontId="10" fillId="2" borderId="45" xfId="0" applyNumberFormat="1" applyFont="1" applyFill="1" applyBorder="1" applyAlignment="1">
      <alignment horizontal="center" vertical="center" wrapText="1"/>
    </xf>
    <xf numFmtId="167" fontId="1" fillId="4" borderId="1" xfId="0" applyNumberFormat="1" applyFont="1" applyFill="1" applyBorder="1" applyAlignment="1">
      <alignment horizontal="center" vertical="center" wrapText="1"/>
    </xf>
    <xf numFmtId="167" fontId="10" fillId="2" borderId="43" xfId="0" applyNumberFormat="1" applyFont="1" applyFill="1" applyBorder="1" applyAlignment="1">
      <alignment horizontal="center" vertical="center" wrapText="1"/>
    </xf>
    <xf numFmtId="164" fontId="18" fillId="4" borderId="12" xfId="1" applyFont="1" applyFill="1" applyBorder="1" applyAlignment="1">
      <alignment horizontal="center" vertical="center" wrapText="1"/>
    </xf>
    <xf numFmtId="2" fontId="1" fillId="0" borderId="11" xfId="0" applyNumberFormat="1" applyFont="1" applyFill="1" applyBorder="1" applyAlignment="1">
      <alignment horizontal="center" vertical="center"/>
    </xf>
    <xf numFmtId="0" fontId="1" fillId="5" borderId="19"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24" fillId="5" borderId="1" xfId="0" applyFont="1" applyFill="1" applyBorder="1" applyAlignment="1" applyProtection="1">
      <alignment horizontal="center" vertical="center"/>
      <protection locked="0"/>
    </xf>
    <xf numFmtId="0" fontId="24" fillId="6" borderId="19" xfId="0" applyFont="1" applyFill="1" applyBorder="1" applyAlignment="1" applyProtection="1">
      <alignment horizontal="center" vertical="center"/>
      <protection locked="0"/>
    </xf>
    <xf numFmtId="164" fontId="18" fillId="0" borderId="1" xfId="1" applyFont="1" applyFill="1" applyBorder="1" applyAlignment="1" applyProtection="1">
      <alignment vertical="center" wrapText="1"/>
    </xf>
    <xf numFmtId="164" fontId="18" fillId="0" borderId="15" xfId="1" applyFont="1" applyFill="1" applyBorder="1" applyAlignment="1" applyProtection="1">
      <alignment vertical="center" wrapText="1"/>
    </xf>
    <xf numFmtId="164" fontId="1" fillId="4" borderId="1" xfId="1" applyFont="1" applyFill="1" applyBorder="1" applyAlignment="1" applyProtection="1">
      <alignment vertical="center" wrapText="1"/>
    </xf>
    <xf numFmtId="2" fontId="1" fillId="0" borderId="12"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164" fontId="1" fillId="0" borderId="1" xfId="1" applyFont="1" applyFill="1" applyBorder="1" applyAlignment="1" applyProtection="1">
      <alignment horizontal="center" vertical="center"/>
    </xf>
    <xf numFmtId="0" fontId="18" fillId="0" borderId="1" xfId="0" applyFont="1" applyBorder="1" applyAlignment="1">
      <alignment vertical="center" wrapText="1"/>
    </xf>
    <xf numFmtId="0" fontId="18" fillId="0" borderId="11" xfId="0" applyFont="1" applyFill="1" applyBorder="1" applyAlignment="1">
      <alignment horizontal="center" vertical="center" wrapText="1"/>
    </xf>
    <xf numFmtId="2" fontId="18" fillId="4" borderId="11" xfId="6" applyNumberFormat="1" applyFont="1" applyFill="1" applyBorder="1" applyAlignment="1" applyProtection="1">
      <alignment horizontal="center" vertical="center" wrapText="1"/>
    </xf>
    <xf numFmtId="0" fontId="18" fillId="0" borderId="0" xfId="0" applyFont="1" applyAlignment="1">
      <alignment vertical="center" wrapText="1"/>
    </xf>
    <xf numFmtId="164" fontId="1" fillId="4" borderId="11" xfId="1" applyFont="1" applyFill="1" applyBorder="1" applyAlignment="1" applyProtection="1">
      <alignment vertical="center" wrapText="1"/>
    </xf>
    <xf numFmtId="0" fontId="1" fillId="0" borderId="0" xfId="0" applyFont="1" applyAlignment="1">
      <alignment vertical="center"/>
    </xf>
    <xf numFmtId="0" fontId="1" fillId="0" borderId="0" xfId="0" applyFont="1" applyFill="1" applyAlignment="1">
      <alignment vertical="center"/>
    </xf>
    <xf numFmtId="164" fontId="1" fillId="0" borderId="19" xfId="1" applyFont="1" applyFill="1" applyBorder="1" applyAlignment="1">
      <alignment horizontal="center" vertical="center"/>
    </xf>
    <xf numFmtId="167" fontId="1" fillId="0" borderId="19" xfId="0" applyNumberFormat="1" applyFont="1" applyFill="1" applyBorder="1" applyAlignment="1">
      <alignment horizontal="center" vertical="center" wrapText="1"/>
    </xf>
    <xf numFmtId="166" fontId="1" fillId="0" borderId="19" xfId="0" applyNumberFormat="1" applyFont="1" applyFill="1" applyBorder="1" applyAlignment="1">
      <alignment horizontal="center" vertical="center" wrapText="1"/>
    </xf>
    <xf numFmtId="0" fontId="1" fillId="4" borderId="1" xfId="0" applyFont="1" applyFill="1" applyBorder="1" applyAlignment="1">
      <alignment vertical="center"/>
    </xf>
    <xf numFmtId="4" fontId="1" fillId="4" borderId="1" xfId="0" applyNumberFormat="1" applyFont="1" applyFill="1" applyBorder="1" applyAlignment="1">
      <alignment horizontal="center" vertical="center" wrapText="1"/>
    </xf>
    <xf numFmtId="4" fontId="1" fillId="4" borderId="11" xfId="0" applyNumberFormat="1" applyFont="1" applyFill="1" applyBorder="1" applyAlignment="1">
      <alignment horizontal="center" vertical="center" wrapText="1"/>
    </xf>
    <xf numFmtId="0" fontId="1" fillId="4" borderId="1" xfId="1" applyNumberFormat="1" applyFont="1" applyFill="1" applyBorder="1" applyAlignment="1">
      <alignment horizontal="center" vertical="center"/>
    </xf>
    <xf numFmtId="1" fontId="1" fillId="4" borderId="1" xfId="1" applyNumberFormat="1" applyFont="1" applyFill="1" applyBorder="1" applyAlignment="1">
      <alignment horizontal="center" vertical="center"/>
    </xf>
    <xf numFmtId="165" fontId="1" fillId="4" borderId="12" xfId="6" applyFont="1" applyFill="1" applyBorder="1" applyAlignment="1">
      <alignment horizontal="center" vertical="center"/>
    </xf>
    <xf numFmtId="2" fontId="1" fillId="0" borderId="1" xfId="0" applyNumberFormat="1" applyFont="1" applyFill="1" applyBorder="1" applyAlignment="1">
      <alignment horizontal="justify" vertical="center" wrapText="1"/>
    </xf>
    <xf numFmtId="165" fontId="1" fillId="0" borderId="12" xfId="6" applyFont="1" applyFill="1" applyBorder="1" applyAlignment="1">
      <alignment horizontal="center" vertical="center"/>
    </xf>
    <xf numFmtId="1" fontId="1" fillId="2" borderId="1" xfId="1" applyNumberFormat="1" applyFont="1" applyFill="1" applyBorder="1" applyAlignment="1">
      <alignment horizontal="center" vertical="center"/>
    </xf>
    <xf numFmtId="1" fontId="1" fillId="0" borderId="1" xfId="1" applyNumberFormat="1" applyFont="1" applyFill="1" applyBorder="1" applyAlignment="1">
      <alignment horizontal="center" vertical="center"/>
    </xf>
    <xf numFmtId="0" fontId="18" fillId="0" borderId="11" xfId="0" applyFont="1" applyBorder="1" applyAlignment="1">
      <alignment horizontal="center" vertical="center" wrapText="1"/>
    </xf>
    <xf numFmtId="0" fontId="23" fillId="0" borderId="1" xfId="0" applyFont="1" applyBorder="1" applyAlignment="1">
      <alignment vertical="center" wrapText="1"/>
    </xf>
    <xf numFmtId="164" fontId="18" fillId="0" borderId="11" xfId="1" applyFont="1" applyFill="1" applyBorder="1" applyAlignment="1" applyProtection="1">
      <alignment vertical="center" wrapText="1"/>
    </xf>
    <xf numFmtId="0" fontId="1" fillId="0" borderId="1" xfId="0" applyFont="1" applyFill="1" applyBorder="1" applyAlignment="1">
      <alignment horizontal="left" vertical="center"/>
    </xf>
    <xf numFmtId="165" fontId="1" fillId="4" borderId="1" xfId="6" applyFont="1" applyFill="1" applyBorder="1" applyAlignment="1">
      <alignment horizontal="center"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65" fontId="1" fillId="2" borderId="1" xfId="6" applyFont="1" applyFill="1" applyBorder="1" applyAlignment="1">
      <alignment horizontal="center" vertical="center"/>
    </xf>
    <xf numFmtId="164" fontId="1" fillId="2" borderId="1" xfId="1" applyFont="1" applyFill="1" applyBorder="1" applyAlignment="1">
      <alignment horizontal="center" vertical="center"/>
    </xf>
    <xf numFmtId="0" fontId="1" fillId="4" borderId="0" xfId="0" applyFont="1" applyFill="1" applyAlignment="1">
      <alignment vertical="center"/>
    </xf>
    <xf numFmtId="0" fontId="1" fillId="5" borderId="19" xfId="0" applyFont="1" applyFill="1" applyBorder="1" applyAlignment="1" applyProtection="1">
      <alignment wrapText="1"/>
      <protection locked="0"/>
    </xf>
    <xf numFmtId="0" fontId="1" fillId="5" borderId="1" xfId="0" applyFont="1" applyFill="1" applyBorder="1" applyAlignment="1" applyProtection="1">
      <alignment wrapText="1"/>
      <protection locked="0"/>
    </xf>
    <xf numFmtId="164" fontId="1" fillId="4" borderId="20" xfId="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1" xfId="0" applyFont="1" applyFill="1" applyBorder="1" applyAlignment="1">
      <alignment vertical="center" wrapText="1"/>
    </xf>
    <xf numFmtId="39" fontId="1" fillId="0" borderId="11" xfId="6" applyNumberFormat="1" applyFont="1" applyFill="1" applyBorder="1" applyAlignment="1">
      <alignment horizontal="center" vertical="center"/>
    </xf>
    <xf numFmtId="2" fontId="1" fillId="0" borderId="14" xfId="0" applyNumberFormat="1" applyFont="1" applyFill="1" applyBorder="1" applyAlignment="1">
      <alignment horizontal="center" vertical="center"/>
    </xf>
    <xf numFmtId="0" fontId="1" fillId="2" borderId="19" xfId="0" applyFont="1" applyFill="1" applyBorder="1" applyAlignment="1">
      <alignment horizontal="center" vertical="center"/>
    </xf>
    <xf numFmtId="4" fontId="1" fillId="4" borderId="12" xfId="0" applyNumberFormat="1" applyFont="1" applyFill="1" applyBorder="1" applyAlignment="1">
      <alignment horizontal="center" vertical="center"/>
    </xf>
    <xf numFmtId="4" fontId="1" fillId="4" borderId="1" xfId="0" applyNumberFormat="1" applyFont="1" applyFill="1" applyBorder="1" applyAlignment="1">
      <alignment horizontal="center" vertical="center"/>
    </xf>
    <xf numFmtId="0" fontId="1" fillId="4" borderId="12" xfId="0" applyFont="1" applyFill="1" applyBorder="1" applyAlignment="1">
      <alignment horizontal="center" wrapText="1"/>
    </xf>
    <xf numFmtId="0" fontId="1" fillId="4" borderId="0" xfId="0" applyFont="1" applyFill="1" applyBorder="1" applyAlignment="1">
      <alignment vertical="center"/>
    </xf>
    <xf numFmtId="0" fontId="1" fillId="4" borderId="11" xfId="0" applyFont="1" applyFill="1" applyBorder="1" applyAlignment="1">
      <alignment horizontal="center" vertical="center" wrapText="1"/>
    </xf>
    <xf numFmtId="39" fontId="1" fillId="4" borderId="11" xfId="6" applyNumberFormat="1" applyFont="1" applyFill="1" applyBorder="1" applyAlignment="1">
      <alignment horizontal="center" vertical="center"/>
    </xf>
    <xf numFmtId="2" fontId="1" fillId="4" borderId="14" xfId="0" applyNumberFormat="1" applyFont="1" applyFill="1" applyBorder="1" applyAlignment="1">
      <alignment horizontal="center" vertical="center"/>
    </xf>
    <xf numFmtId="0" fontId="1" fillId="2" borderId="1" xfId="0" applyFont="1" applyFill="1" applyBorder="1" applyAlignment="1">
      <alignment vertical="center"/>
    </xf>
    <xf numFmtId="49" fontId="1" fillId="0" borderId="11" xfId="0" applyNumberFormat="1" applyFont="1" applyFill="1" applyBorder="1" applyAlignment="1">
      <alignment horizontal="center" vertical="center"/>
    </xf>
    <xf numFmtId="0" fontId="1" fillId="0" borderId="11" xfId="0" applyFont="1" applyFill="1" applyBorder="1" applyAlignment="1">
      <alignment vertical="center"/>
    </xf>
    <xf numFmtId="0" fontId="1" fillId="0" borderId="11" xfId="0" applyFont="1" applyFill="1" applyBorder="1" applyAlignment="1">
      <alignment horizontal="center" vertical="center"/>
    </xf>
    <xf numFmtId="2" fontId="1" fillId="0" borderId="14" xfId="0" applyNumberFormat="1" applyFont="1" applyFill="1" applyBorder="1" applyAlignment="1">
      <alignment horizontal="center" vertical="center" wrapText="1"/>
    </xf>
    <xf numFmtId="2" fontId="1" fillId="0" borderId="11" xfId="0" applyNumberFormat="1" applyFont="1" applyFill="1" applyBorder="1" applyAlignment="1">
      <alignment horizontal="center" vertical="center" wrapText="1"/>
    </xf>
    <xf numFmtId="164" fontId="1" fillId="0" borderId="15" xfId="1" applyFont="1" applyBorder="1" applyAlignment="1">
      <alignment horizontal="center" vertical="center"/>
    </xf>
    <xf numFmtId="0" fontId="1" fillId="0" borderId="0" xfId="0" applyFont="1" applyAlignment="1">
      <alignment horizontal="center" vertical="center"/>
    </xf>
    <xf numFmtId="0" fontId="7" fillId="7" borderId="1" xfId="0" applyFont="1" applyFill="1" applyBorder="1" applyAlignment="1">
      <alignment horizontal="center" vertical="top" wrapText="1"/>
    </xf>
    <xf numFmtId="164" fontId="8" fillId="7" borderId="1" xfId="1" applyFont="1" applyFill="1" applyBorder="1" applyAlignment="1">
      <alignment horizontal="center" vertical="center" wrapText="1"/>
    </xf>
    <xf numFmtId="9" fontId="8" fillId="7" borderId="1" xfId="6" applyNumberFormat="1" applyFont="1" applyFill="1" applyBorder="1" applyAlignment="1">
      <alignment horizontal="center" vertical="center" wrapText="1"/>
    </xf>
    <xf numFmtId="164" fontId="1" fillId="4" borderId="1" xfId="1" applyFont="1" applyFill="1" applyBorder="1" applyAlignment="1" applyProtection="1">
      <alignment horizontal="center" vertical="center"/>
    </xf>
    <xf numFmtId="2" fontId="1" fillId="4" borderId="11" xfId="0" applyNumberFormat="1" applyFont="1" applyFill="1" applyBorder="1" applyAlignment="1">
      <alignment horizontal="center" vertical="center" wrapText="1"/>
    </xf>
    <xf numFmtId="2" fontId="18" fillId="4" borderId="1" xfId="0" applyNumberFormat="1" applyFont="1" applyFill="1" applyBorder="1" applyAlignment="1">
      <alignment horizontal="center" vertical="center" wrapText="1"/>
    </xf>
    <xf numFmtId="2" fontId="1" fillId="4" borderId="1" xfId="0" applyNumberFormat="1" applyFont="1" applyFill="1" applyBorder="1" applyAlignment="1">
      <alignment horizontal="left" vertical="center" wrapText="1"/>
    </xf>
    <xf numFmtId="165" fontId="1" fillId="4" borderId="12" xfId="6" applyFont="1" applyFill="1" applyBorder="1" applyAlignment="1">
      <alignment vertical="center"/>
    </xf>
    <xf numFmtId="164" fontId="1" fillId="4" borderId="20" xfId="1" applyFont="1" applyFill="1" applyBorder="1" applyAlignment="1">
      <alignment horizontal="center" vertical="center"/>
    </xf>
    <xf numFmtId="164" fontId="1" fillId="0" borderId="1" xfId="1" applyFont="1" applyFill="1" applyBorder="1" applyAlignment="1">
      <alignment horizontal="center" vertical="center" wrapText="1"/>
    </xf>
    <xf numFmtId="0" fontId="19" fillId="0" borderId="1" xfId="0" applyFont="1" applyFill="1" applyBorder="1" applyAlignment="1">
      <alignment vertical="center" wrapText="1"/>
    </xf>
    <xf numFmtId="2" fontId="1" fillId="0" borderId="13" xfId="0" applyNumberFormat="1" applyFont="1" applyFill="1" applyBorder="1" applyAlignment="1">
      <alignment horizontal="center" vertical="center" wrapText="1"/>
    </xf>
    <xf numFmtId="0" fontId="1" fillId="0" borderId="1" xfId="2" applyFont="1" applyFill="1" applyBorder="1" applyAlignment="1">
      <alignment horizontal="center" vertical="center"/>
    </xf>
    <xf numFmtId="0" fontId="1" fillId="0" borderId="13" xfId="2" applyFont="1" applyFill="1" applyBorder="1" applyAlignment="1">
      <alignment horizontal="center" vertical="center"/>
    </xf>
    <xf numFmtId="165" fontId="1" fillId="0" borderId="13" xfId="6" applyFont="1" applyFill="1" applyBorder="1" applyAlignment="1">
      <alignment horizontal="center" vertical="center"/>
    </xf>
    <xf numFmtId="0" fontId="7" fillId="0" borderId="0" xfId="0" applyFont="1" applyBorder="1" applyAlignment="1">
      <alignment horizontal="center" wrapText="1"/>
    </xf>
    <xf numFmtId="0" fontId="10" fillId="2" borderId="1" xfId="0" applyFont="1" applyFill="1" applyBorder="1" applyAlignment="1">
      <alignment vertical="center" wrapText="1"/>
    </xf>
    <xf numFmtId="0" fontId="1" fillId="2" borderId="1" xfId="0" applyFont="1" applyFill="1" applyBorder="1" applyAlignment="1">
      <alignment vertical="center"/>
    </xf>
    <xf numFmtId="0" fontId="10" fillId="3" borderId="16" xfId="0" applyFont="1" applyFill="1" applyBorder="1" applyAlignment="1">
      <alignment horizontal="right" vertical="center" wrapText="1"/>
    </xf>
    <xf numFmtId="0" fontId="10" fillId="3" borderId="17" xfId="0" applyFont="1" applyFill="1" applyBorder="1" applyAlignment="1">
      <alignment horizontal="right" vertical="center" wrapText="1"/>
    </xf>
    <xf numFmtId="0" fontId="10" fillId="3" borderId="37" xfId="0" applyFont="1" applyFill="1" applyBorder="1" applyAlignment="1">
      <alignment horizontal="right" vertical="center" wrapText="1"/>
    </xf>
    <xf numFmtId="0" fontId="7" fillId="0" borderId="0" xfId="0" applyFont="1" applyBorder="1" applyAlignment="1">
      <alignment horizontal="justify" wrapText="1"/>
    </xf>
    <xf numFmtId="0" fontId="1" fillId="0" borderId="0" xfId="0" applyFont="1" applyBorder="1" applyAlignment="1">
      <alignment horizontal="justify"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5" fillId="0" borderId="22" xfId="0" applyFont="1" applyBorder="1" applyAlignment="1">
      <alignment vertical="center" wrapText="1"/>
    </xf>
    <xf numFmtId="0" fontId="15" fillId="0" borderId="23" xfId="0" applyFont="1" applyBorder="1" applyAlignment="1">
      <alignment vertical="center" wrapText="1"/>
    </xf>
    <xf numFmtId="0" fontId="16" fillId="0" borderId="3" xfId="0" applyFont="1" applyBorder="1" applyAlignment="1">
      <alignment horizontal="left" vertical="center" wrapText="1"/>
    </xf>
    <xf numFmtId="0" fontId="16"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2" xfId="0" applyFont="1" applyBorder="1" applyAlignment="1">
      <alignment vertical="center" wrapText="1"/>
    </xf>
    <xf numFmtId="0" fontId="7" fillId="2" borderId="1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41" xfId="0" applyFont="1" applyBorder="1" applyAlignment="1">
      <alignment horizontal="left" vertical="center" wrapText="1"/>
    </xf>
    <xf numFmtId="0" fontId="16" fillId="0" borderId="3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2" xfId="0" applyFont="1" applyBorder="1" applyAlignment="1">
      <alignment horizontal="left" vertical="center" wrapText="1"/>
    </xf>
    <xf numFmtId="0" fontId="16" fillId="0" borderId="28" xfId="0" applyFont="1" applyBorder="1" applyAlignment="1">
      <alignment horizontal="left" vertical="center" wrapText="1"/>
    </xf>
    <xf numFmtId="0" fontId="1" fillId="0" borderId="1" xfId="0" applyFont="1" applyBorder="1" applyAlignment="1">
      <alignment horizontal="justify" vertical="top" wrapText="1"/>
    </xf>
    <xf numFmtId="0" fontId="1" fillId="0" borderId="1" xfId="0" applyFont="1" applyBorder="1" applyAlignment="1">
      <alignment vertical="top" wrapText="1"/>
    </xf>
    <xf numFmtId="0" fontId="1" fillId="0" borderId="1" xfId="0" applyFont="1" applyBorder="1" applyAlignment="1">
      <alignment horizontal="justify" vertical="center" wrapText="1"/>
    </xf>
    <xf numFmtId="0" fontId="1" fillId="0" borderId="1" xfId="0" applyFont="1" applyBorder="1" applyAlignment="1">
      <alignment vertical="center" wrapText="1"/>
    </xf>
    <xf numFmtId="0" fontId="1" fillId="0" borderId="12" xfId="0" applyFont="1" applyBorder="1" applyAlignment="1">
      <alignment horizontal="justify" vertical="top" wrapText="1"/>
    </xf>
    <xf numFmtId="0" fontId="1" fillId="0" borderId="28" xfId="0" applyFont="1" applyBorder="1" applyAlignment="1">
      <alignment horizontal="justify" vertical="top" wrapText="1"/>
    </xf>
    <xf numFmtId="0" fontId="1" fillId="0" borderId="13" xfId="0" applyFont="1" applyBorder="1" applyAlignment="1">
      <alignment horizontal="justify" vertical="top" wrapText="1"/>
    </xf>
    <xf numFmtId="0" fontId="8" fillId="0" borderId="29" xfId="0" applyFont="1" applyBorder="1" applyAlignment="1">
      <alignment horizontal="left" vertical="top" wrapText="1"/>
    </xf>
    <xf numFmtId="0" fontId="8" fillId="0" borderId="30" xfId="0" applyFont="1" applyBorder="1" applyAlignment="1">
      <alignment horizontal="left" vertical="top" wrapText="1"/>
    </xf>
    <xf numFmtId="0" fontId="8" fillId="0" borderId="36" xfId="0" applyFont="1" applyBorder="1" applyAlignment="1">
      <alignment horizontal="left" vertical="top" wrapText="1"/>
    </xf>
    <xf numFmtId="0" fontId="8" fillId="0" borderId="37" xfId="0" applyFont="1" applyBorder="1" applyAlignment="1">
      <alignment horizontal="left" vertical="top" wrapText="1"/>
    </xf>
    <xf numFmtId="0" fontId="1" fillId="0" borderId="33" xfId="0" applyFont="1" applyBorder="1" applyAlignment="1">
      <alignment horizontal="left" vertical="top" wrapText="1"/>
    </xf>
    <xf numFmtId="0" fontId="1" fillId="0" borderId="34" xfId="0" applyFont="1" applyBorder="1" applyAlignment="1">
      <alignment horizontal="left" vertical="top" wrapText="1"/>
    </xf>
    <xf numFmtId="0" fontId="7" fillId="2" borderId="3" xfId="0" applyFont="1" applyFill="1" applyBorder="1" applyAlignment="1">
      <alignment horizontal="center" vertical="top" wrapText="1"/>
    </xf>
    <xf numFmtId="0" fontId="7" fillId="2" borderId="1" xfId="0" applyFont="1" applyFill="1" applyBorder="1" applyAlignment="1">
      <alignment horizontal="center" vertical="top" wrapText="1"/>
    </xf>
    <xf numFmtId="0" fontId="7" fillId="2" borderId="12"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4" xfId="0" applyFont="1" applyFill="1" applyBorder="1" applyAlignment="1">
      <alignment horizontal="center" vertical="top" wrapText="1"/>
    </xf>
    <xf numFmtId="0" fontId="3" fillId="2" borderId="3"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0" fillId="2" borderId="12" xfId="0" applyFont="1" applyFill="1" applyBorder="1" applyAlignment="1">
      <alignment horizontal="center"/>
    </xf>
    <xf numFmtId="0" fontId="10" fillId="2" borderId="28" xfId="0" applyFont="1" applyFill="1" applyBorder="1" applyAlignment="1">
      <alignment horizontal="center"/>
    </xf>
    <xf numFmtId="0" fontId="10" fillId="7" borderId="12" xfId="0" applyFont="1" applyFill="1" applyBorder="1" applyAlignment="1">
      <alignment horizontal="center"/>
    </xf>
    <xf numFmtId="0" fontId="10" fillId="7" borderId="28" xfId="0" applyFont="1" applyFill="1" applyBorder="1" applyAlignment="1">
      <alignment horizont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Border="1" applyAlignment="1">
      <alignment horizontal="center" vertical="center" wrapText="1"/>
    </xf>
    <xf numFmtId="0" fontId="11" fillId="0" borderId="14" xfId="0" applyFont="1" applyBorder="1" applyAlignment="1">
      <alignment horizontal="left" vertical="top" wrapText="1"/>
    </xf>
    <xf numFmtId="0" fontId="11" fillId="0" borderId="26" xfId="0" applyFont="1" applyBorder="1" applyAlignment="1">
      <alignment horizontal="left" vertical="top" wrapText="1"/>
    </xf>
    <xf numFmtId="0" fontId="11" fillId="0" borderId="6" xfId="0" applyFont="1" applyBorder="1" applyAlignment="1">
      <alignment horizontal="left" vertical="top" wrapText="1"/>
    </xf>
    <xf numFmtId="0" fontId="11" fillId="0" borderId="7" xfId="0" applyFont="1" applyBorder="1" applyAlignment="1">
      <alignment horizontal="left" vertical="top" wrapText="1"/>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0" borderId="32" xfId="0" applyFont="1" applyBorder="1" applyAlignment="1">
      <alignment horizontal="left" vertical="top"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0" fillId="0" borderId="28" xfId="0" applyBorder="1" applyAlignment="1"/>
  </cellXfs>
  <cellStyles count="8">
    <cellStyle name="Moeda" xfId="1" builtinId="4"/>
    <cellStyle name="Normal" xfId="0" builtinId="0"/>
    <cellStyle name="Normal 2" xfId="2"/>
    <cellStyle name="Normal 3 3" xfId="3"/>
    <cellStyle name="Porcentagem" xfId="4" builtinId="5"/>
    <cellStyle name="Porcentagem 2" xfId="7"/>
    <cellStyle name="Separador de milhares 2" xfId="5"/>
    <cellStyle name="Vírgula" xfId="6"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showGridLines="0" tabSelected="1" view="pageBreakPreview" topLeftCell="A104" zoomScaleNormal="90" zoomScaleSheetLayoutView="100" workbookViewId="0">
      <selection activeCell="O116" sqref="O116"/>
    </sheetView>
  </sheetViews>
  <sheetFormatPr defaultRowHeight="12.75" x14ac:dyDescent="0.2"/>
  <cols>
    <col min="1" max="1" width="5.5703125" style="146" bestFit="1" customWidth="1"/>
    <col min="2" max="2" width="14.5703125" style="14" customWidth="1"/>
    <col min="3" max="3" width="40.28515625" style="146" customWidth="1"/>
    <col min="4" max="4" width="6" style="146" customWidth="1"/>
    <col min="5" max="5" width="11" style="193" customWidth="1"/>
    <col min="6" max="6" width="13" style="193" customWidth="1"/>
    <col min="7" max="7" width="15.28515625" style="193" customWidth="1"/>
    <col min="8" max="8" width="18.85546875" style="193" customWidth="1"/>
    <col min="9" max="9" width="7.140625" style="146" bestFit="1" customWidth="1"/>
    <col min="10" max="10" width="10.7109375" style="146" customWidth="1"/>
    <col min="11" max="13" width="9.140625" style="146"/>
    <col min="14" max="14" width="12.140625" style="146" customWidth="1"/>
    <col min="15" max="16384" width="9.140625" style="146"/>
  </cols>
  <sheetData>
    <row r="1" spans="1:11" ht="15" x14ac:dyDescent="0.2">
      <c r="A1" s="217" t="s">
        <v>38</v>
      </c>
      <c r="B1" s="218"/>
      <c r="C1" s="218"/>
      <c r="D1" s="218"/>
      <c r="E1" s="218"/>
      <c r="F1" s="218"/>
      <c r="G1" s="219"/>
      <c r="H1" s="220"/>
    </row>
    <row r="2" spans="1:11" x14ac:dyDescent="0.2">
      <c r="A2" s="221" t="s">
        <v>16</v>
      </c>
      <c r="B2" s="222"/>
      <c r="C2" s="222"/>
      <c r="D2" s="222"/>
      <c r="E2" s="222"/>
      <c r="F2" s="222"/>
      <c r="G2" s="223"/>
      <c r="H2" s="224"/>
    </row>
    <row r="3" spans="1:11" x14ac:dyDescent="0.2">
      <c r="A3" s="221"/>
      <c r="B3" s="222"/>
      <c r="C3" s="222"/>
      <c r="D3" s="222"/>
      <c r="E3" s="222"/>
      <c r="F3" s="222"/>
      <c r="G3" s="223"/>
      <c r="H3" s="224"/>
    </row>
    <row r="4" spans="1:11" ht="15" x14ac:dyDescent="0.2">
      <c r="A4" s="222" t="s">
        <v>22</v>
      </c>
      <c r="B4" s="222"/>
      <c r="C4" s="234" t="s">
        <v>218</v>
      </c>
      <c r="D4" s="235"/>
      <c r="E4" s="235"/>
      <c r="F4" s="235"/>
      <c r="G4" s="233" t="s">
        <v>83</v>
      </c>
      <c r="H4" s="233"/>
    </row>
    <row r="5" spans="1:11" ht="15.75" thickBot="1" x14ac:dyDescent="0.25">
      <c r="A5" s="222" t="s">
        <v>37</v>
      </c>
      <c r="B5" s="222"/>
      <c r="C5" s="229" t="s">
        <v>84</v>
      </c>
      <c r="D5" s="230"/>
      <c r="E5" s="230"/>
      <c r="F5" s="231"/>
      <c r="G5" s="15" t="s">
        <v>27</v>
      </c>
      <c r="H5" s="16">
        <v>0.20499999999999999</v>
      </c>
    </row>
    <row r="6" spans="1:11" ht="15" x14ac:dyDescent="0.2">
      <c r="A6" s="232"/>
      <c r="B6" s="232"/>
      <c r="C6" s="232"/>
      <c r="D6" s="232"/>
      <c r="E6" s="232"/>
      <c r="F6" s="232"/>
      <c r="G6" s="232"/>
      <c r="H6" s="232"/>
    </row>
    <row r="7" spans="1:11" s="147" customFormat="1" x14ac:dyDescent="0.2">
      <c r="A7" s="225" t="s">
        <v>18</v>
      </c>
      <c r="B7" s="227" t="s">
        <v>30</v>
      </c>
      <c r="C7" s="225" t="s">
        <v>19</v>
      </c>
      <c r="D7" s="225" t="s">
        <v>20</v>
      </c>
      <c r="E7" s="225" t="s">
        <v>21</v>
      </c>
      <c r="F7" s="225" t="s">
        <v>23</v>
      </c>
      <c r="G7" s="225" t="s">
        <v>28</v>
      </c>
      <c r="H7" s="225" t="s">
        <v>29</v>
      </c>
    </row>
    <row r="8" spans="1:11" s="147" customFormat="1" x14ac:dyDescent="0.2">
      <c r="A8" s="226"/>
      <c r="B8" s="228"/>
      <c r="C8" s="226"/>
      <c r="D8" s="226"/>
      <c r="E8" s="226"/>
      <c r="F8" s="226"/>
      <c r="G8" s="226"/>
      <c r="H8" s="226"/>
    </row>
    <row r="9" spans="1:11" s="147" customFormat="1" x14ac:dyDescent="0.2">
      <c r="A9" s="29"/>
      <c r="B9" s="46"/>
      <c r="C9" s="47"/>
      <c r="D9" s="43"/>
      <c r="E9" s="92"/>
      <c r="F9" s="148"/>
      <c r="G9" s="149"/>
      <c r="H9" s="150"/>
    </row>
    <row r="10" spans="1:11" s="147" customFormat="1" x14ac:dyDescent="0.2">
      <c r="A10" s="8" t="s">
        <v>0</v>
      </c>
      <c r="B10" s="13"/>
      <c r="C10" s="9" t="s">
        <v>1</v>
      </c>
      <c r="D10" s="44"/>
      <c r="E10" s="45"/>
      <c r="F10" s="45"/>
      <c r="G10" s="45"/>
      <c r="H10" s="45"/>
    </row>
    <row r="11" spans="1:11" s="147" customFormat="1" ht="25.5" x14ac:dyDescent="0.2">
      <c r="A11" s="68" t="s">
        <v>32</v>
      </c>
      <c r="B11" s="83" t="s">
        <v>33</v>
      </c>
      <c r="C11" s="41" t="s">
        <v>34</v>
      </c>
      <c r="D11" s="50" t="s">
        <v>3</v>
      </c>
      <c r="E11" s="95">
        <v>1.5</v>
      </c>
      <c r="F11" s="64">
        <v>316.62</v>
      </c>
      <c r="G11" s="127">
        <f>E11*F11</f>
        <v>474.93</v>
      </c>
      <c r="H11" s="69">
        <f>G11*$H$5+G11</f>
        <v>572.29065000000003</v>
      </c>
    </row>
    <row r="12" spans="1:11" s="147" customFormat="1" x14ac:dyDescent="0.2">
      <c r="A12" s="68" t="s">
        <v>39</v>
      </c>
      <c r="B12" s="83" t="s">
        <v>40</v>
      </c>
      <c r="C12" s="41" t="s">
        <v>41</v>
      </c>
      <c r="D12" s="83" t="s">
        <v>3</v>
      </c>
      <c r="E12" s="95">
        <v>220</v>
      </c>
      <c r="F12" s="84">
        <v>3.99</v>
      </c>
      <c r="G12" s="127">
        <f>E12*F12</f>
        <v>877.80000000000007</v>
      </c>
      <c r="H12" s="69">
        <f>G12*$H$5+G12</f>
        <v>1057.749</v>
      </c>
      <c r="I12" s="120"/>
      <c r="K12" s="119"/>
    </row>
    <row r="13" spans="1:11" s="147" customFormat="1" ht="51" x14ac:dyDescent="0.2">
      <c r="A13" s="68" t="s">
        <v>158</v>
      </c>
      <c r="B13" s="83" t="s">
        <v>157</v>
      </c>
      <c r="C13" s="41" t="s">
        <v>159</v>
      </c>
      <c r="D13" s="83" t="s">
        <v>3</v>
      </c>
      <c r="E13" s="139">
        <f>1.2*10</f>
        <v>12</v>
      </c>
      <c r="F13" s="84">
        <v>54.04</v>
      </c>
      <c r="G13" s="127">
        <f>E13*F13</f>
        <v>648.48</v>
      </c>
      <c r="H13" s="69">
        <f>G13*$H$5+G13</f>
        <v>781.41840000000002</v>
      </c>
      <c r="I13" s="120"/>
      <c r="K13" s="119"/>
    </row>
    <row r="14" spans="1:11" s="147" customFormat="1" x14ac:dyDescent="0.2">
      <c r="A14" s="29"/>
      <c r="B14" s="46"/>
      <c r="C14" s="122"/>
      <c r="D14" s="99"/>
      <c r="E14" s="123"/>
      <c r="F14" s="124" t="s">
        <v>25</v>
      </c>
      <c r="G14" s="125">
        <f>SUM(G11:G13)</f>
        <v>2001.21</v>
      </c>
      <c r="H14" s="126">
        <f>SUM(H11:H13)</f>
        <v>2411.4580500000002</v>
      </c>
    </row>
    <row r="15" spans="1:11" s="147" customFormat="1" x14ac:dyDescent="0.2">
      <c r="A15" s="29"/>
      <c r="B15" s="46"/>
      <c r="C15" s="47"/>
      <c r="D15" s="43"/>
      <c r="E15" s="92"/>
      <c r="F15" s="93"/>
      <c r="G15" s="94"/>
      <c r="H15" s="94"/>
    </row>
    <row r="16" spans="1:11" s="147" customFormat="1" x14ac:dyDescent="0.2">
      <c r="A16" s="8" t="s">
        <v>59</v>
      </c>
      <c r="B16" s="13"/>
      <c r="C16" s="9" t="s">
        <v>60</v>
      </c>
      <c r="D16" s="44"/>
      <c r="E16" s="45"/>
      <c r="F16" s="45"/>
      <c r="G16" s="45"/>
      <c r="H16" s="45"/>
    </row>
    <row r="17" spans="1:12" s="147" customFormat="1" ht="38.25" x14ac:dyDescent="0.2">
      <c r="A17" s="29" t="s">
        <v>65</v>
      </c>
      <c r="B17" s="83">
        <v>97628</v>
      </c>
      <c r="C17" s="51" t="s">
        <v>99</v>
      </c>
      <c r="D17" s="50" t="s">
        <v>5</v>
      </c>
      <c r="E17" s="95">
        <f>120*0.07</f>
        <v>8.4</v>
      </c>
      <c r="F17" s="64">
        <v>192.48</v>
      </c>
      <c r="G17" s="48">
        <f>F17*E17</f>
        <v>1616.8319999999999</v>
      </c>
      <c r="H17" s="69">
        <f>G17*$H$5+G17</f>
        <v>1948.2825599999999</v>
      </c>
      <c r="L17" s="121"/>
    </row>
    <row r="18" spans="1:12" s="147" customFormat="1" ht="13.5" thickBot="1" x14ac:dyDescent="0.25">
      <c r="A18" s="29" t="s">
        <v>181</v>
      </c>
      <c r="B18" s="113"/>
      <c r="C18" s="98" t="s">
        <v>106</v>
      </c>
      <c r="D18" s="114" t="s">
        <v>48</v>
      </c>
      <c r="E18" s="95">
        <v>1</v>
      </c>
      <c r="F18" s="64">
        <v>380</v>
      </c>
      <c r="G18" s="48">
        <f t="shared" ref="G18" si="0">F18*E18</f>
        <v>380</v>
      </c>
      <c r="H18" s="69">
        <f t="shared" ref="H18" si="1">G18*$H$5+G18</f>
        <v>457.9</v>
      </c>
    </row>
    <row r="19" spans="1:12" s="147" customFormat="1" ht="13.5" thickBot="1" x14ac:dyDescent="0.25">
      <c r="A19" s="96"/>
      <c r="B19" s="97"/>
      <c r="C19" s="98"/>
      <c r="D19" s="99"/>
      <c r="E19" s="100"/>
      <c r="F19" s="128" t="s">
        <v>25</v>
      </c>
      <c r="G19" s="20">
        <f>SUM(G17:G17)</f>
        <v>1616.8319999999999</v>
      </c>
      <c r="H19" s="21">
        <f>SUM(H17:H18)</f>
        <v>2406.1825599999997</v>
      </c>
    </row>
    <row r="20" spans="1:12" s="147" customFormat="1" x14ac:dyDescent="0.2">
      <c r="A20" s="29"/>
      <c r="B20" s="46"/>
      <c r="C20" s="47"/>
      <c r="D20" s="43"/>
      <c r="E20" s="92"/>
      <c r="F20" s="93"/>
      <c r="G20" s="94"/>
      <c r="H20" s="94"/>
    </row>
    <row r="21" spans="1:12" s="147" customFormat="1" x14ac:dyDescent="0.2">
      <c r="A21" s="8" t="s">
        <v>110</v>
      </c>
      <c r="B21" s="13"/>
      <c r="C21" s="210" t="s">
        <v>94</v>
      </c>
      <c r="D21" s="211"/>
      <c r="E21" s="211"/>
      <c r="F21" s="45"/>
      <c r="G21" s="45"/>
      <c r="H21" s="45"/>
    </row>
    <row r="22" spans="1:12" s="147" customFormat="1" x14ac:dyDescent="0.2">
      <c r="A22" s="102" t="s">
        <v>182</v>
      </c>
      <c r="B22" s="103"/>
      <c r="C22" s="104" t="s">
        <v>90</v>
      </c>
      <c r="D22" s="151"/>
      <c r="E22" s="151"/>
      <c r="F22" s="152"/>
      <c r="G22" s="153"/>
      <c r="H22" s="152"/>
    </row>
    <row r="23" spans="1:12" s="147" customFormat="1" ht="60.75" customHeight="1" x14ac:dyDescent="0.2">
      <c r="A23" s="68" t="s">
        <v>183</v>
      </c>
      <c r="B23" s="154">
        <v>92760</v>
      </c>
      <c r="C23" s="41" t="s">
        <v>86</v>
      </c>
      <c r="D23" s="68" t="s">
        <v>87</v>
      </c>
      <c r="E23" s="68">
        <f>((E27+E29)/0.2)*0.48*0.245</f>
        <v>67.625879999999981</v>
      </c>
      <c r="F23" s="84">
        <v>8.99</v>
      </c>
      <c r="G23" s="48">
        <f t="shared" ref="G23" si="2">E23*F23</f>
        <v>607.95666119999987</v>
      </c>
      <c r="H23" s="69">
        <f t="shared" ref="H23" si="3">G23*$H$5+G23</f>
        <v>732.5877767459998</v>
      </c>
    </row>
    <row r="24" spans="1:12" s="147" customFormat="1" ht="58.5" customHeight="1" x14ac:dyDescent="0.2">
      <c r="A24" s="68" t="s">
        <v>184</v>
      </c>
      <c r="B24" s="154">
        <v>92761</v>
      </c>
      <c r="C24" s="105" t="s">
        <v>85</v>
      </c>
      <c r="D24" s="68" t="s">
        <v>87</v>
      </c>
      <c r="E24" s="165">
        <f>(E27+E29)*4*0.395</f>
        <v>181.7158</v>
      </c>
      <c r="F24" s="64">
        <v>8.1999999999999993</v>
      </c>
      <c r="G24" s="48">
        <f t="shared" ref="G24:G25" si="4">E24*F24</f>
        <v>1490.0695599999999</v>
      </c>
      <c r="H24" s="69">
        <f t="shared" ref="H24:H25" si="5">G24*$H$5+G24</f>
        <v>1795.5338197999999</v>
      </c>
    </row>
    <row r="25" spans="1:12" s="147" customFormat="1" ht="38.25" x14ac:dyDescent="0.2">
      <c r="A25" s="68" t="s">
        <v>185</v>
      </c>
      <c r="B25" s="154">
        <v>94965</v>
      </c>
      <c r="C25" s="105" t="s">
        <v>88</v>
      </c>
      <c r="D25" s="68" t="s">
        <v>5</v>
      </c>
      <c r="E25" s="165">
        <f>(E27+E29)*0.12*0.2</f>
        <v>2.7602399999999996</v>
      </c>
      <c r="F25" s="64">
        <v>322.01</v>
      </c>
      <c r="G25" s="48">
        <f t="shared" si="4"/>
        <v>888.82488239999986</v>
      </c>
      <c r="H25" s="69">
        <f t="shared" si="5"/>
        <v>1071.0339832919999</v>
      </c>
    </row>
    <row r="26" spans="1:12" s="147" customFormat="1" ht="38.25" x14ac:dyDescent="0.2">
      <c r="A26" s="68" t="s">
        <v>186</v>
      </c>
      <c r="B26" s="155">
        <v>96536</v>
      </c>
      <c r="C26" s="111" t="s">
        <v>89</v>
      </c>
      <c r="D26" s="68" t="s">
        <v>3</v>
      </c>
      <c r="E26" s="165">
        <f>(E27+E29)*0.2*2</f>
        <v>46.003999999999998</v>
      </c>
      <c r="F26" s="64">
        <v>61</v>
      </c>
      <c r="G26" s="48">
        <f>E26*F26</f>
        <v>2806.2439999999997</v>
      </c>
      <c r="H26" s="69">
        <f t="shared" ref="H26" si="6">G26*$H$5+G26</f>
        <v>3381.5240199999998</v>
      </c>
    </row>
    <row r="27" spans="1:12" s="147" customFormat="1" ht="51" x14ac:dyDescent="0.2">
      <c r="A27" s="68" t="s">
        <v>187</v>
      </c>
      <c r="B27" s="155" t="s">
        <v>217</v>
      </c>
      <c r="C27" s="111" t="s">
        <v>91</v>
      </c>
      <c r="D27" s="68" t="s">
        <v>4</v>
      </c>
      <c r="E27" s="156">
        <v>45.05</v>
      </c>
      <c r="F27" s="64">
        <v>60</v>
      </c>
      <c r="G27" s="48">
        <f t="shared" ref="G27:G29" si="7">E27*F27</f>
        <v>2703</v>
      </c>
      <c r="H27" s="69">
        <f t="shared" ref="H27:H29" si="8">G27*$H$5+G27</f>
        <v>3257.1149999999998</v>
      </c>
    </row>
    <row r="28" spans="1:12" s="147" customFormat="1" ht="25.5" x14ac:dyDescent="0.2">
      <c r="A28" s="68" t="s">
        <v>188</v>
      </c>
      <c r="B28" s="155" t="s">
        <v>217</v>
      </c>
      <c r="C28" s="111" t="s">
        <v>93</v>
      </c>
      <c r="D28" s="68" t="s">
        <v>48</v>
      </c>
      <c r="E28" s="156">
        <v>1</v>
      </c>
      <c r="F28" s="64">
        <v>150</v>
      </c>
      <c r="G28" s="48">
        <f t="shared" ref="G28" si="9">E28*F28</f>
        <v>150</v>
      </c>
      <c r="H28" s="69">
        <f t="shared" ref="H28" si="10">G28*$H$5+G28</f>
        <v>180.75</v>
      </c>
    </row>
    <row r="29" spans="1:12" s="147" customFormat="1" ht="51" x14ac:dyDescent="0.2">
      <c r="A29" s="68" t="s">
        <v>189</v>
      </c>
      <c r="B29" s="155" t="s">
        <v>217</v>
      </c>
      <c r="C29" s="111" t="s">
        <v>92</v>
      </c>
      <c r="D29" s="68" t="s">
        <v>4</v>
      </c>
      <c r="E29" s="156">
        <v>69.959999999999994</v>
      </c>
      <c r="F29" s="64">
        <v>70</v>
      </c>
      <c r="G29" s="48">
        <f t="shared" si="7"/>
        <v>4897.2</v>
      </c>
      <c r="H29" s="69">
        <f t="shared" si="8"/>
        <v>5901.1260000000002</v>
      </c>
    </row>
    <row r="30" spans="1:12" s="147" customFormat="1" x14ac:dyDescent="0.2">
      <c r="A30" s="102" t="s">
        <v>190</v>
      </c>
      <c r="B30" s="155"/>
      <c r="C30" s="106" t="s">
        <v>77</v>
      </c>
      <c r="D30" s="68"/>
      <c r="E30" s="156"/>
      <c r="F30" s="64"/>
      <c r="G30" s="48"/>
      <c r="H30" s="69"/>
    </row>
    <row r="31" spans="1:12" s="147" customFormat="1" ht="61.5" customHeight="1" x14ac:dyDescent="0.2">
      <c r="A31" s="68" t="s">
        <v>191</v>
      </c>
      <c r="B31" s="154">
        <v>92760</v>
      </c>
      <c r="C31" s="41" t="s">
        <v>86</v>
      </c>
      <c r="D31" s="68" t="s">
        <v>87</v>
      </c>
      <c r="E31" s="68">
        <f>((49.73)/0.2)*0.48*0.245</f>
        <v>29.241239999999998</v>
      </c>
      <c r="F31" s="84">
        <v>8.99</v>
      </c>
      <c r="G31" s="48">
        <f t="shared" ref="G31:G34" si="11">E31*F31</f>
        <v>262.8787476</v>
      </c>
      <c r="H31" s="69">
        <f t="shared" ref="H31:H34" si="12">G31*$H$5+G31</f>
        <v>316.76889085799996</v>
      </c>
    </row>
    <row r="32" spans="1:12" s="147" customFormat="1" ht="63" customHeight="1" x14ac:dyDescent="0.2">
      <c r="A32" s="68" t="s">
        <v>192</v>
      </c>
      <c r="B32" s="154">
        <v>92761</v>
      </c>
      <c r="C32" s="105" t="s">
        <v>85</v>
      </c>
      <c r="D32" s="68" t="s">
        <v>87</v>
      </c>
      <c r="E32" s="165">
        <f>49.73*4*0.395</f>
        <v>78.573399999999992</v>
      </c>
      <c r="F32" s="64">
        <v>8.1999999999999993</v>
      </c>
      <c r="G32" s="48">
        <f t="shared" si="11"/>
        <v>644.30187999999987</v>
      </c>
      <c r="H32" s="69">
        <f t="shared" si="12"/>
        <v>776.3837653999999</v>
      </c>
    </row>
    <row r="33" spans="1:8" s="147" customFormat="1" ht="38.25" x14ac:dyDescent="0.2">
      <c r="A33" s="68" t="s">
        <v>193</v>
      </c>
      <c r="B33" s="154">
        <v>94965</v>
      </c>
      <c r="C33" s="105" t="s">
        <v>88</v>
      </c>
      <c r="D33" s="68" t="s">
        <v>5</v>
      </c>
      <c r="E33" s="165">
        <f>49.73*0.2*0.12</f>
        <v>1.1935199999999999</v>
      </c>
      <c r="F33" s="64">
        <v>322.01</v>
      </c>
      <c r="G33" s="48">
        <f t="shared" si="11"/>
        <v>384.32537519999994</v>
      </c>
      <c r="H33" s="69">
        <f t="shared" si="12"/>
        <v>463.11207711599991</v>
      </c>
    </row>
    <row r="34" spans="1:8" s="147" customFormat="1" ht="38.25" x14ac:dyDescent="0.2">
      <c r="A34" s="68" t="s">
        <v>194</v>
      </c>
      <c r="B34" s="155">
        <v>96536</v>
      </c>
      <c r="C34" s="111" t="s">
        <v>89</v>
      </c>
      <c r="D34" s="68" t="s">
        <v>3</v>
      </c>
      <c r="E34" s="165">
        <f>49.73*0.2*2</f>
        <v>19.891999999999999</v>
      </c>
      <c r="F34" s="64">
        <v>61</v>
      </c>
      <c r="G34" s="48">
        <f t="shared" si="11"/>
        <v>1213.412</v>
      </c>
      <c r="H34" s="69">
        <f t="shared" si="12"/>
        <v>1462.16146</v>
      </c>
    </row>
    <row r="35" spans="1:8" s="147" customFormat="1" ht="25.5" x14ac:dyDescent="0.2">
      <c r="A35" s="68" t="s">
        <v>195</v>
      </c>
      <c r="B35" s="155">
        <v>97082</v>
      </c>
      <c r="C35" s="111" t="s">
        <v>95</v>
      </c>
      <c r="D35" s="68" t="s">
        <v>5</v>
      </c>
      <c r="E35" s="156">
        <f>53.21*0.5</f>
        <v>26.605</v>
      </c>
      <c r="F35" s="64">
        <v>44.14</v>
      </c>
      <c r="G35" s="48">
        <f t="shared" ref="G35" si="13">E35*F35</f>
        <v>1174.3447000000001</v>
      </c>
      <c r="H35" s="69">
        <f t="shared" ref="H35" si="14">G35*$H$5+G35</f>
        <v>1415.0853635000001</v>
      </c>
    </row>
    <row r="36" spans="1:8" s="147" customFormat="1" x14ac:dyDescent="0.2">
      <c r="A36" s="68" t="s">
        <v>196</v>
      </c>
      <c r="B36" s="155"/>
      <c r="C36" s="141" t="s">
        <v>54</v>
      </c>
      <c r="D36" s="142" t="s">
        <v>4</v>
      </c>
      <c r="E36" s="143">
        <v>4</v>
      </c>
      <c r="F36" s="145">
        <v>9.8000000000000007</v>
      </c>
      <c r="G36" s="48">
        <f t="shared" ref="G36:G38" si="15">E36*F36</f>
        <v>39.200000000000003</v>
      </c>
      <c r="H36" s="69">
        <f t="shared" ref="H36:H38" si="16">G36*$H$5+G36</f>
        <v>47.236000000000004</v>
      </c>
    </row>
    <row r="37" spans="1:8" s="147" customFormat="1" ht="76.5" x14ac:dyDescent="0.2">
      <c r="A37" s="68" t="s">
        <v>197</v>
      </c>
      <c r="B37" s="155">
        <v>99837</v>
      </c>
      <c r="C37" s="111" t="s">
        <v>96</v>
      </c>
      <c r="D37" s="68" t="s">
        <v>4</v>
      </c>
      <c r="E37" s="156">
        <v>17.649999999999999</v>
      </c>
      <c r="F37" s="64">
        <v>360.8</v>
      </c>
      <c r="G37" s="48">
        <f t="shared" si="15"/>
        <v>6368.12</v>
      </c>
      <c r="H37" s="69">
        <f t="shared" si="16"/>
        <v>7673.5846000000001</v>
      </c>
    </row>
    <row r="38" spans="1:8" s="147" customFormat="1" ht="38.25" x14ac:dyDescent="0.2">
      <c r="A38" s="68" t="s">
        <v>198</v>
      </c>
      <c r="B38" s="155">
        <v>84191</v>
      </c>
      <c r="C38" s="111" t="s">
        <v>108</v>
      </c>
      <c r="D38" s="68" t="s">
        <v>3</v>
      </c>
      <c r="E38" s="156">
        <v>22.93</v>
      </c>
      <c r="F38" s="64">
        <v>108.4</v>
      </c>
      <c r="G38" s="48">
        <f t="shared" si="15"/>
        <v>2485.6120000000001</v>
      </c>
      <c r="H38" s="69">
        <f t="shared" si="16"/>
        <v>2995.16246</v>
      </c>
    </row>
    <row r="39" spans="1:8" s="147" customFormat="1" x14ac:dyDescent="0.2">
      <c r="A39" s="102" t="s">
        <v>199</v>
      </c>
      <c r="B39" s="155"/>
      <c r="C39" s="106" t="s">
        <v>82</v>
      </c>
      <c r="D39" s="68"/>
      <c r="E39" s="156"/>
      <c r="F39" s="64"/>
      <c r="G39" s="48"/>
      <c r="H39" s="69"/>
    </row>
    <row r="40" spans="1:8" s="147" customFormat="1" ht="63.75" x14ac:dyDescent="0.2">
      <c r="A40" s="68" t="s">
        <v>200</v>
      </c>
      <c r="B40" s="155">
        <v>95954</v>
      </c>
      <c r="C40" s="111" t="s">
        <v>122</v>
      </c>
      <c r="D40" s="68" t="s">
        <v>5</v>
      </c>
      <c r="E40" s="156">
        <f>11*0.5*0.1+5*(5*0.35*0.4*0.2)</f>
        <v>1.25</v>
      </c>
      <c r="F40" s="64">
        <v>1734.49</v>
      </c>
      <c r="G40" s="48">
        <f t="shared" ref="G40" si="17">E40*F40</f>
        <v>2168.1125000000002</v>
      </c>
      <c r="H40" s="69">
        <f t="shared" ref="H40" si="18">G40*$H$5+G40</f>
        <v>2612.5755625000002</v>
      </c>
    </row>
    <row r="41" spans="1:8" s="147" customFormat="1" ht="59.25" customHeight="1" x14ac:dyDescent="0.2">
      <c r="A41" s="68" t="s">
        <v>201</v>
      </c>
      <c r="B41" s="154">
        <v>92760</v>
      </c>
      <c r="C41" s="41" t="s">
        <v>86</v>
      </c>
      <c r="D41" s="68" t="s">
        <v>87</v>
      </c>
      <c r="E41" s="68">
        <f>((4.59)/0.2)*0.48*0.245</f>
        <v>2.6989199999999998</v>
      </c>
      <c r="F41" s="84">
        <v>8.99</v>
      </c>
      <c r="G41" s="48">
        <f t="shared" ref="G41:G45" si="19">E41*F41</f>
        <v>24.2632908</v>
      </c>
      <c r="H41" s="69">
        <f t="shared" ref="H41:H45" si="20">G41*$H$5+G41</f>
        <v>29.237265413999999</v>
      </c>
    </row>
    <row r="42" spans="1:8" s="147" customFormat="1" ht="68.25" customHeight="1" x14ac:dyDescent="0.2">
      <c r="A42" s="68" t="s">
        <v>202</v>
      </c>
      <c r="B42" s="154">
        <v>92761</v>
      </c>
      <c r="C42" s="105" t="s">
        <v>85</v>
      </c>
      <c r="D42" s="68" t="s">
        <v>87</v>
      </c>
      <c r="E42" s="165">
        <f>4.59*4*0.395</f>
        <v>7.2522000000000002</v>
      </c>
      <c r="F42" s="64">
        <v>8.1999999999999993</v>
      </c>
      <c r="G42" s="48">
        <f t="shared" si="19"/>
        <v>59.468039999999995</v>
      </c>
      <c r="H42" s="69">
        <f t="shared" si="20"/>
        <v>71.658988199999996</v>
      </c>
    </row>
    <row r="43" spans="1:8" s="147" customFormat="1" ht="38.25" x14ac:dyDescent="0.2">
      <c r="A43" s="68" t="s">
        <v>203</v>
      </c>
      <c r="B43" s="154">
        <v>94965</v>
      </c>
      <c r="C43" s="105" t="s">
        <v>88</v>
      </c>
      <c r="D43" s="68" t="s">
        <v>5</v>
      </c>
      <c r="E43" s="156">
        <f>4.59*0.15*0.2</f>
        <v>0.13770000000000002</v>
      </c>
      <c r="F43" s="64">
        <v>322.01</v>
      </c>
      <c r="G43" s="48">
        <f t="shared" si="19"/>
        <v>44.340777000000003</v>
      </c>
      <c r="H43" s="69">
        <f t="shared" si="20"/>
        <v>53.430636285000006</v>
      </c>
    </row>
    <row r="44" spans="1:8" s="147" customFormat="1" ht="38.25" x14ac:dyDescent="0.2">
      <c r="A44" s="68" t="s">
        <v>204</v>
      </c>
      <c r="B44" s="155">
        <v>96536</v>
      </c>
      <c r="C44" s="111" t="s">
        <v>89</v>
      </c>
      <c r="D44" s="68" t="s">
        <v>3</v>
      </c>
      <c r="E44" s="156">
        <f>4.59*0.2*2</f>
        <v>1.8360000000000001</v>
      </c>
      <c r="F44" s="64">
        <v>61</v>
      </c>
      <c r="G44" s="48">
        <f t="shared" si="19"/>
        <v>111.99600000000001</v>
      </c>
      <c r="H44" s="69">
        <f t="shared" si="20"/>
        <v>134.95518000000001</v>
      </c>
    </row>
    <row r="45" spans="1:8" s="147" customFormat="1" ht="25.5" x14ac:dyDescent="0.2">
      <c r="A45" s="68" t="s">
        <v>205</v>
      </c>
      <c r="B45" s="155">
        <v>97082</v>
      </c>
      <c r="C45" s="111" t="s">
        <v>95</v>
      </c>
      <c r="D45" s="68" t="s">
        <v>5</v>
      </c>
      <c r="E45" s="156">
        <f>4.59*0.2*0.4</f>
        <v>0.36720000000000003</v>
      </c>
      <c r="F45" s="64">
        <v>44.14</v>
      </c>
      <c r="G45" s="48">
        <f t="shared" si="19"/>
        <v>16.208208000000003</v>
      </c>
      <c r="H45" s="69">
        <f t="shared" si="20"/>
        <v>19.530890640000003</v>
      </c>
    </row>
    <row r="46" spans="1:8" s="147" customFormat="1" x14ac:dyDescent="0.2">
      <c r="A46" s="102" t="s">
        <v>206</v>
      </c>
      <c r="B46" s="155"/>
      <c r="C46" s="106" t="s">
        <v>76</v>
      </c>
      <c r="D46" s="68"/>
      <c r="E46" s="156"/>
      <c r="F46" s="64"/>
      <c r="G46" s="48"/>
      <c r="H46" s="69"/>
    </row>
    <row r="47" spans="1:8" s="147" customFormat="1" ht="63" customHeight="1" x14ac:dyDescent="0.2">
      <c r="A47" s="68" t="s">
        <v>207</v>
      </c>
      <c r="B47" s="154">
        <v>92760</v>
      </c>
      <c r="C47" s="41" t="s">
        <v>86</v>
      </c>
      <c r="D47" s="68" t="s">
        <v>87</v>
      </c>
      <c r="E47" s="156">
        <f>(17.48/0.2)*0.48*0.245</f>
        <v>10.278239999999998</v>
      </c>
      <c r="F47" s="84">
        <v>8.99</v>
      </c>
      <c r="G47" s="48">
        <f t="shared" ref="G47:G56" si="21">E47*F47</f>
        <v>92.401377599999989</v>
      </c>
      <c r="H47" s="69">
        <f t="shared" ref="H47:H56" si="22">G47*$H$5+G47</f>
        <v>111.34366000799999</v>
      </c>
    </row>
    <row r="48" spans="1:8" s="147" customFormat="1" ht="61.5" customHeight="1" x14ac:dyDescent="0.2">
      <c r="A48" s="68" t="s">
        <v>208</v>
      </c>
      <c r="B48" s="154">
        <v>92761</v>
      </c>
      <c r="C48" s="105" t="s">
        <v>85</v>
      </c>
      <c r="D48" s="68" t="s">
        <v>87</v>
      </c>
      <c r="E48" s="156">
        <f>17.48*4*0.395</f>
        <v>27.618400000000001</v>
      </c>
      <c r="F48" s="64">
        <v>8.1999999999999993</v>
      </c>
      <c r="G48" s="48">
        <f t="shared" si="21"/>
        <v>226.47087999999999</v>
      </c>
      <c r="H48" s="69">
        <f t="shared" si="22"/>
        <v>272.89741040000001</v>
      </c>
    </row>
    <row r="49" spans="1:9" s="147" customFormat="1" ht="38.25" x14ac:dyDescent="0.2">
      <c r="A49" s="68" t="s">
        <v>209</v>
      </c>
      <c r="B49" s="154">
        <v>94965</v>
      </c>
      <c r="C49" s="105" t="s">
        <v>88</v>
      </c>
      <c r="D49" s="68" t="s">
        <v>5</v>
      </c>
      <c r="E49" s="156">
        <f>17.48*0.2*0.12+4*(1.5*3.1415*0.07^2)</f>
        <v>0.51188010000000006</v>
      </c>
      <c r="F49" s="64">
        <v>322.01</v>
      </c>
      <c r="G49" s="48">
        <f t="shared" si="21"/>
        <v>164.83051100100002</v>
      </c>
      <c r="H49" s="69">
        <f t="shared" si="22"/>
        <v>198.62076575620503</v>
      </c>
    </row>
    <row r="50" spans="1:9" s="147" customFormat="1" ht="38.25" x14ac:dyDescent="0.2">
      <c r="A50" s="68" t="s">
        <v>210</v>
      </c>
      <c r="B50" s="155">
        <v>96536</v>
      </c>
      <c r="C50" s="111" t="s">
        <v>89</v>
      </c>
      <c r="D50" s="68" t="s">
        <v>3</v>
      </c>
      <c r="E50" s="156">
        <f>17.48*2*0.2</f>
        <v>6.9920000000000009</v>
      </c>
      <c r="F50" s="64">
        <v>61</v>
      </c>
      <c r="G50" s="48">
        <f t="shared" si="21"/>
        <v>426.51200000000006</v>
      </c>
      <c r="H50" s="69">
        <f t="shared" si="22"/>
        <v>513.9469600000001</v>
      </c>
    </row>
    <row r="51" spans="1:9" s="147" customFormat="1" ht="25.5" x14ac:dyDescent="0.2">
      <c r="A51" s="68" t="s">
        <v>211</v>
      </c>
      <c r="B51" s="155">
        <v>97082</v>
      </c>
      <c r="C51" s="111" t="s">
        <v>95</v>
      </c>
      <c r="D51" s="68" t="s">
        <v>5</v>
      </c>
      <c r="E51" s="156">
        <f>0.4*0.2*10.61</f>
        <v>0.84880000000000011</v>
      </c>
      <c r="F51" s="64">
        <v>44.14</v>
      </c>
      <c r="G51" s="48">
        <f t="shared" si="21"/>
        <v>37.466032000000006</v>
      </c>
      <c r="H51" s="69">
        <f t="shared" si="22"/>
        <v>45.146568560000006</v>
      </c>
    </row>
    <row r="52" spans="1:9" s="147" customFormat="1" ht="38.25" x14ac:dyDescent="0.2">
      <c r="A52" s="68" t="s">
        <v>212</v>
      </c>
      <c r="B52" s="155">
        <v>84191</v>
      </c>
      <c r="C52" s="111" t="s">
        <v>109</v>
      </c>
      <c r="D52" s="68" t="s">
        <v>3</v>
      </c>
      <c r="E52" s="156">
        <f>10.38</f>
        <v>10.38</v>
      </c>
      <c r="F52" s="64">
        <v>108.4</v>
      </c>
      <c r="G52" s="48">
        <f t="shared" si="21"/>
        <v>1125.1920000000002</v>
      </c>
      <c r="H52" s="69">
        <f t="shared" si="22"/>
        <v>1355.8563600000002</v>
      </c>
    </row>
    <row r="53" spans="1:9" s="147" customFormat="1" ht="76.5" x14ac:dyDescent="0.2">
      <c r="A53" s="68" t="s">
        <v>213</v>
      </c>
      <c r="B53" s="155">
        <v>87447</v>
      </c>
      <c r="C53" s="111" t="s">
        <v>104</v>
      </c>
      <c r="D53" s="68" t="s">
        <v>3</v>
      </c>
      <c r="E53" s="156">
        <f>3.91*2</f>
        <v>7.82</v>
      </c>
      <c r="F53" s="64">
        <v>51.01</v>
      </c>
      <c r="G53" s="48">
        <f t="shared" si="21"/>
        <v>398.89819999999997</v>
      </c>
      <c r="H53" s="69">
        <f t="shared" si="22"/>
        <v>480.67233099999999</v>
      </c>
    </row>
    <row r="54" spans="1:9" s="147" customFormat="1" ht="51" x14ac:dyDescent="0.2">
      <c r="A54" s="68" t="s">
        <v>214</v>
      </c>
      <c r="B54" s="155">
        <v>87879</v>
      </c>
      <c r="C54" s="111" t="s">
        <v>97</v>
      </c>
      <c r="D54" s="68" t="s">
        <v>3</v>
      </c>
      <c r="E54" s="156">
        <f>E53</f>
        <v>7.82</v>
      </c>
      <c r="F54" s="64">
        <v>3.04</v>
      </c>
      <c r="G54" s="48">
        <f t="shared" ref="G54:G55" si="23">E54*F54</f>
        <v>23.7728</v>
      </c>
      <c r="H54" s="69">
        <f t="shared" ref="H54:H55" si="24">G54*$H$5+G54</f>
        <v>28.646224</v>
      </c>
    </row>
    <row r="55" spans="1:9" s="147" customFormat="1" ht="69" customHeight="1" x14ac:dyDescent="0.2">
      <c r="A55" s="68" t="s">
        <v>215</v>
      </c>
      <c r="B55" s="155">
        <v>87777</v>
      </c>
      <c r="C55" s="111" t="s">
        <v>98</v>
      </c>
      <c r="D55" s="68" t="s">
        <v>3</v>
      </c>
      <c r="E55" s="156">
        <f>E53</f>
        <v>7.82</v>
      </c>
      <c r="F55" s="64">
        <v>42.88</v>
      </c>
      <c r="G55" s="48">
        <f t="shared" si="23"/>
        <v>335.32160000000005</v>
      </c>
      <c r="H55" s="69">
        <f t="shared" si="24"/>
        <v>404.06252800000004</v>
      </c>
      <c r="I55" s="120"/>
    </row>
    <row r="56" spans="1:9" s="147" customFormat="1" ht="13.5" thickBot="1" x14ac:dyDescent="0.25">
      <c r="A56" s="68" t="s">
        <v>216</v>
      </c>
      <c r="B56" s="155" t="s">
        <v>217</v>
      </c>
      <c r="C56" s="111" t="s">
        <v>143</v>
      </c>
      <c r="D56" s="68" t="s">
        <v>48</v>
      </c>
      <c r="E56" s="156">
        <v>24</v>
      </c>
      <c r="F56" s="64">
        <v>14.8</v>
      </c>
      <c r="G56" s="48">
        <f t="shared" si="21"/>
        <v>355.20000000000005</v>
      </c>
      <c r="H56" s="69">
        <f t="shared" si="22"/>
        <v>428.01600000000008</v>
      </c>
    </row>
    <row r="57" spans="1:9" s="147" customFormat="1" ht="13.5" thickBot="1" x14ac:dyDescent="0.25">
      <c r="A57" s="29"/>
      <c r="B57" s="139"/>
      <c r="C57" s="157"/>
      <c r="D57" s="139"/>
      <c r="E57" s="158"/>
      <c r="F57" s="24" t="s">
        <v>25</v>
      </c>
      <c r="G57" s="22">
        <f>SUM(G24:G26)</f>
        <v>5185.1384423999989</v>
      </c>
      <c r="H57" s="23">
        <f>SUM(H23:H56)</f>
        <v>38229.762547475191</v>
      </c>
    </row>
    <row r="58" spans="1:9" s="147" customFormat="1" x14ac:dyDescent="0.2">
      <c r="A58" s="29"/>
      <c r="B58" s="139"/>
      <c r="C58" s="157"/>
      <c r="D58" s="139"/>
      <c r="E58" s="92"/>
      <c r="F58" s="148"/>
      <c r="G58" s="149"/>
      <c r="H58" s="149"/>
    </row>
    <row r="59" spans="1:9" x14ac:dyDescent="0.2">
      <c r="A59" s="8" t="s">
        <v>56</v>
      </c>
      <c r="B59" s="159"/>
      <c r="C59" s="10" t="s">
        <v>2</v>
      </c>
      <c r="D59" s="10"/>
      <c r="E59" s="12"/>
      <c r="F59" s="12"/>
      <c r="G59" s="12"/>
      <c r="H59" s="12"/>
    </row>
    <row r="60" spans="1:9" x14ac:dyDescent="0.2">
      <c r="A60" s="102" t="s">
        <v>57</v>
      </c>
      <c r="B60" s="155"/>
      <c r="C60" s="107" t="s">
        <v>79</v>
      </c>
      <c r="D60" s="107"/>
      <c r="E60" s="108"/>
      <c r="F60" s="108"/>
      <c r="G60" s="109"/>
      <c r="H60" s="108"/>
    </row>
    <row r="61" spans="1:9" ht="42" customHeight="1" x14ac:dyDescent="0.2">
      <c r="A61" s="29" t="s">
        <v>121</v>
      </c>
      <c r="B61" s="160">
        <v>92394</v>
      </c>
      <c r="C61" s="101" t="s">
        <v>62</v>
      </c>
      <c r="D61" s="43" t="s">
        <v>3</v>
      </c>
      <c r="E61" s="95">
        <f>903.81+144.66</f>
        <v>1048.47</v>
      </c>
      <c r="F61" s="197">
        <v>46.72</v>
      </c>
      <c r="G61" s="91">
        <f t="shared" ref="G61:G71" si="25">E61*F61</f>
        <v>48984.518400000001</v>
      </c>
      <c r="H61" s="49">
        <f t="shared" ref="H61:H71" si="26">G61*$H$5+G61</f>
        <v>59026.344671999999</v>
      </c>
    </row>
    <row r="62" spans="1:9" ht="76.5" x14ac:dyDescent="0.2">
      <c r="A62" s="29" t="s">
        <v>130</v>
      </c>
      <c r="B62" s="160">
        <v>94273</v>
      </c>
      <c r="C62" s="101" t="s">
        <v>78</v>
      </c>
      <c r="D62" s="43" t="s">
        <v>4</v>
      </c>
      <c r="E62" s="95">
        <v>133</v>
      </c>
      <c r="F62" s="197">
        <v>35.299999999999997</v>
      </c>
      <c r="G62" s="91">
        <f t="shared" si="25"/>
        <v>4694.8999999999996</v>
      </c>
      <c r="H62" s="49">
        <f t="shared" si="26"/>
        <v>5657.3544999999995</v>
      </c>
    </row>
    <row r="63" spans="1:9" ht="51.75" customHeight="1" x14ac:dyDescent="0.2">
      <c r="A63" s="29" t="s">
        <v>131</v>
      </c>
      <c r="B63" s="155" t="s">
        <v>217</v>
      </c>
      <c r="C63" s="101" t="s">
        <v>100</v>
      </c>
      <c r="D63" s="43" t="s">
        <v>5</v>
      </c>
      <c r="E63" s="95">
        <f>(9.85+6.4+5.64)*(2.5+(1.5*2/2))*0.12</f>
        <v>10.507199999999999</v>
      </c>
      <c r="F63" s="197">
        <v>445</v>
      </c>
      <c r="G63" s="91">
        <f t="shared" ref="G63:G65" si="27">E63*F63</f>
        <v>4675.7039999999997</v>
      </c>
      <c r="H63" s="49">
        <f t="shared" ref="H63:H65" si="28">G63*$H$5+G63</f>
        <v>5634.2233199999991</v>
      </c>
    </row>
    <row r="64" spans="1:9" ht="25.5" x14ac:dyDescent="0.2">
      <c r="A64" s="29" t="s">
        <v>132</v>
      </c>
      <c r="B64" s="155" t="s">
        <v>217</v>
      </c>
      <c r="C64" s="101" t="s">
        <v>107</v>
      </c>
      <c r="D64" s="43" t="s">
        <v>5</v>
      </c>
      <c r="E64" s="198">
        <f>23.5*0.12</f>
        <v>2.82</v>
      </c>
      <c r="F64" s="197">
        <v>445</v>
      </c>
      <c r="G64" s="91">
        <f t="shared" ref="G64" si="29">E64*F64</f>
        <v>1254.8999999999999</v>
      </c>
      <c r="H64" s="49">
        <f t="shared" ref="H64" si="30">G64*$H$5+G64</f>
        <v>1512.1544999999999</v>
      </c>
    </row>
    <row r="65" spans="1:8" ht="44.25" customHeight="1" x14ac:dyDescent="0.2">
      <c r="A65" s="29" t="s">
        <v>133</v>
      </c>
      <c r="B65" s="155" t="s">
        <v>217</v>
      </c>
      <c r="C65" s="141" t="s">
        <v>103</v>
      </c>
      <c r="D65" s="142" t="s">
        <v>3</v>
      </c>
      <c r="E65" s="143">
        <f>((9.85+6.4+5.64)*(2.5+(1.5*2/2)))+23.5</f>
        <v>111.06</v>
      </c>
      <c r="F65" s="145">
        <v>10</v>
      </c>
      <c r="G65" s="135">
        <f t="shared" si="27"/>
        <v>1110.5999999999999</v>
      </c>
      <c r="H65" s="49">
        <f t="shared" si="28"/>
        <v>1338.2729999999999</v>
      </c>
    </row>
    <row r="66" spans="1:8" x14ac:dyDescent="0.2">
      <c r="A66" s="117" t="s">
        <v>58</v>
      </c>
      <c r="B66" s="160"/>
      <c r="C66" s="110" t="s">
        <v>80</v>
      </c>
      <c r="D66" s="43"/>
      <c r="E66" s="139"/>
      <c r="F66" s="140"/>
      <c r="G66" s="91"/>
      <c r="H66" s="49"/>
    </row>
    <row r="67" spans="1:8" s="147" customFormat="1" ht="38.25" x14ac:dyDescent="0.2">
      <c r="A67" s="29" t="s">
        <v>125</v>
      </c>
      <c r="B67" s="161">
        <v>68325</v>
      </c>
      <c r="C67" s="144" t="s">
        <v>101</v>
      </c>
      <c r="D67" s="142" t="s">
        <v>5</v>
      </c>
      <c r="E67" s="143">
        <f>(700.1-E68)*0.07</f>
        <v>48.906200000000005</v>
      </c>
      <c r="F67" s="145">
        <v>420</v>
      </c>
      <c r="G67" s="135">
        <f t="shared" si="25"/>
        <v>20540.604000000003</v>
      </c>
      <c r="H67" s="49">
        <f t="shared" si="26"/>
        <v>24751.427820000004</v>
      </c>
    </row>
    <row r="68" spans="1:8" s="147" customFormat="1" ht="38.25" x14ac:dyDescent="0.2">
      <c r="A68" s="29" t="s">
        <v>126</v>
      </c>
      <c r="B68" s="161">
        <v>94997</v>
      </c>
      <c r="C68" s="141" t="s">
        <v>102</v>
      </c>
      <c r="D68" s="142" t="s">
        <v>5</v>
      </c>
      <c r="E68" s="143">
        <f>6*2*0.12</f>
        <v>1.44</v>
      </c>
      <c r="F68" s="145">
        <v>420</v>
      </c>
      <c r="G68" s="135">
        <f t="shared" si="25"/>
        <v>604.79999999999995</v>
      </c>
      <c r="H68" s="49">
        <f t="shared" si="26"/>
        <v>728.78399999999988</v>
      </c>
    </row>
    <row r="69" spans="1:8" s="147" customFormat="1" ht="25.5" x14ac:dyDescent="0.2">
      <c r="A69" s="29" t="s">
        <v>127</v>
      </c>
      <c r="B69" s="155" t="s">
        <v>217</v>
      </c>
      <c r="C69" s="141" t="s">
        <v>103</v>
      </c>
      <c r="D69" s="142" t="s">
        <v>3</v>
      </c>
      <c r="E69" s="143">
        <v>700.1</v>
      </c>
      <c r="F69" s="145">
        <v>10</v>
      </c>
      <c r="G69" s="135">
        <f t="shared" si="25"/>
        <v>7001</v>
      </c>
      <c r="H69" s="49">
        <f t="shared" si="26"/>
        <v>8436.2049999999999</v>
      </c>
    </row>
    <row r="70" spans="1:8" s="147" customFormat="1" x14ac:dyDescent="0.2">
      <c r="A70" s="29" t="s">
        <v>128</v>
      </c>
      <c r="B70" s="161"/>
      <c r="C70" s="141" t="s">
        <v>54</v>
      </c>
      <c r="D70" s="142" t="s">
        <v>4</v>
      </c>
      <c r="E70" s="143">
        <v>20</v>
      </c>
      <c r="F70" s="145">
        <v>9.8000000000000007</v>
      </c>
      <c r="G70" s="135">
        <f t="shared" si="25"/>
        <v>196</v>
      </c>
      <c r="H70" s="49">
        <f t="shared" si="26"/>
        <v>236.18</v>
      </c>
    </row>
    <row r="71" spans="1:8" s="147" customFormat="1" x14ac:dyDescent="0.2">
      <c r="A71" s="29" t="s">
        <v>129</v>
      </c>
      <c r="B71" s="161">
        <v>97086</v>
      </c>
      <c r="C71" s="144" t="s">
        <v>55</v>
      </c>
      <c r="D71" s="142" t="s">
        <v>3</v>
      </c>
      <c r="E71" s="143">
        <f>(356.33+343.76)*0.1</f>
        <v>70.009</v>
      </c>
      <c r="F71" s="145">
        <v>35.4</v>
      </c>
      <c r="G71" s="135">
        <f t="shared" si="25"/>
        <v>2478.3186000000001</v>
      </c>
      <c r="H71" s="49">
        <f t="shared" si="26"/>
        <v>2986.3739129999999</v>
      </c>
    </row>
    <row r="72" spans="1:8" s="147" customFormat="1" x14ac:dyDescent="0.2">
      <c r="A72" s="117" t="s">
        <v>61</v>
      </c>
      <c r="B72" s="161"/>
      <c r="C72" s="162" t="s">
        <v>81</v>
      </c>
      <c r="D72" s="142"/>
      <c r="E72" s="143"/>
      <c r="F72" s="145"/>
      <c r="G72" s="163"/>
      <c r="H72" s="49"/>
    </row>
    <row r="73" spans="1:8" ht="76.5" x14ac:dyDescent="0.2">
      <c r="A73" s="29" t="s">
        <v>134</v>
      </c>
      <c r="B73" s="155">
        <v>94991</v>
      </c>
      <c r="C73" s="42" t="s">
        <v>105</v>
      </c>
      <c r="D73" s="50" t="s">
        <v>5</v>
      </c>
      <c r="E73" s="199">
        <f>(263+118.27+80.69)*0.07</f>
        <v>32.337200000000003</v>
      </c>
      <c r="F73" s="145">
        <v>420</v>
      </c>
      <c r="G73" s="48">
        <f>E73*F73</f>
        <v>13581.624000000002</v>
      </c>
      <c r="H73" s="49">
        <f>G73*$H$5+G73</f>
        <v>16365.856920000002</v>
      </c>
    </row>
    <row r="74" spans="1:8" ht="51" x14ac:dyDescent="0.2">
      <c r="A74" s="29" t="s">
        <v>135</v>
      </c>
      <c r="B74" s="155" t="s">
        <v>217</v>
      </c>
      <c r="C74" s="141" t="s">
        <v>219</v>
      </c>
      <c r="D74" s="142" t="s">
        <v>3</v>
      </c>
      <c r="E74" s="116">
        <f>(263+118.27+80.69)</f>
        <v>461.96</v>
      </c>
      <c r="F74" s="145">
        <v>10</v>
      </c>
      <c r="G74" s="135">
        <f t="shared" ref="G74" si="31">E74*F74</f>
        <v>4619.5999999999995</v>
      </c>
      <c r="H74" s="49">
        <f t="shared" ref="H74" si="32">G74*$H$5+G74</f>
        <v>5566.6179999999995</v>
      </c>
    </row>
    <row r="75" spans="1:8" x14ac:dyDescent="0.2">
      <c r="A75" s="29" t="s">
        <v>136</v>
      </c>
      <c r="B75" s="155" t="s">
        <v>217</v>
      </c>
      <c r="C75" s="141" t="s">
        <v>144</v>
      </c>
      <c r="D75" s="142" t="s">
        <v>3</v>
      </c>
      <c r="E75" s="116">
        <v>30.81</v>
      </c>
      <c r="F75" s="137">
        <v>14.1</v>
      </c>
      <c r="G75" s="135">
        <f t="shared" ref="G75" si="33">E75*F75</f>
        <v>434.42099999999999</v>
      </c>
      <c r="H75" s="49">
        <f t="shared" ref="H75" si="34">G75*$H$5+G75</f>
        <v>523.477305</v>
      </c>
    </row>
    <row r="76" spans="1:8" x14ac:dyDescent="0.2">
      <c r="A76" s="117" t="s">
        <v>137</v>
      </c>
      <c r="B76" s="118"/>
      <c r="C76" s="162" t="s">
        <v>138</v>
      </c>
      <c r="D76" s="142"/>
      <c r="E76" s="116"/>
      <c r="F76" s="116"/>
      <c r="G76" s="136"/>
      <c r="H76" s="115"/>
    </row>
    <row r="77" spans="1:8" ht="25.5" x14ac:dyDescent="0.2">
      <c r="A77" s="29" t="s">
        <v>140</v>
      </c>
      <c r="B77" s="155" t="s">
        <v>217</v>
      </c>
      <c r="C77" s="141" t="s">
        <v>142</v>
      </c>
      <c r="D77" s="142" t="s">
        <v>48</v>
      </c>
      <c r="E77" s="116">
        <v>1</v>
      </c>
      <c r="F77" s="129">
        <v>220</v>
      </c>
      <c r="G77" s="135">
        <f t="shared" ref="G77" si="35">E77*F77</f>
        <v>220</v>
      </c>
      <c r="H77" s="49">
        <f t="shared" ref="H77" si="36">G77*$H$5+G77</f>
        <v>265.10000000000002</v>
      </c>
    </row>
    <row r="78" spans="1:8" ht="26.25" thickBot="1" x14ac:dyDescent="0.25">
      <c r="A78" s="29" t="s">
        <v>141</v>
      </c>
      <c r="B78" s="155" t="s">
        <v>217</v>
      </c>
      <c r="C78" s="141" t="s">
        <v>139</v>
      </c>
      <c r="D78" s="142" t="s">
        <v>5</v>
      </c>
      <c r="E78" s="116">
        <v>7</v>
      </c>
      <c r="F78" s="137">
        <v>90</v>
      </c>
      <c r="G78" s="135">
        <f t="shared" ref="G78" si="37">E78*F78</f>
        <v>630</v>
      </c>
      <c r="H78" s="49">
        <f t="shared" ref="H78" si="38">G78*$H$5+G78</f>
        <v>759.15</v>
      </c>
    </row>
    <row r="79" spans="1:8" ht="13.5" thickBot="1" x14ac:dyDescent="0.25">
      <c r="A79" s="29"/>
      <c r="B79" s="160"/>
      <c r="C79" s="51"/>
      <c r="D79" s="43"/>
      <c r="E79" s="138"/>
      <c r="F79" s="19" t="s">
        <v>25</v>
      </c>
      <c r="G79" s="20">
        <f>SUM(G61:G78)</f>
        <v>111026.99</v>
      </c>
      <c r="H79" s="21">
        <f>SUM(H61:H78)</f>
        <v>133787.52295000001</v>
      </c>
    </row>
    <row r="80" spans="1:8" x14ac:dyDescent="0.2">
      <c r="A80" s="29"/>
      <c r="B80" s="160"/>
      <c r="C80" s="164"/>
      <c r="D80" s="43"/>
      <c r="E80" s="92"/>
      <c r="F80" s="148"/>
      <c r="G80" s="149"/>
      <c r="H80" s="150"/>
    </row>
    <row r="81" spans="1:8" x14ac:dyDescent="0.2">
      <c r="A81" s="8" t="s">
        <v>66</v>
      </c>
      <c r="B81" s="13"/>
      <c r="C81" s="210" t="s">
        <v>50</v>
      </c>
      <c r="D81" s="211"/>
      <c r="E81" s="211"/>
      <c r="F81" s="45"/>
      <c r="G81" s="45"/>
      <c r="H81" s="45"/>
    </row>
    <row r="82" spans="1:8" ht="38.25" x14ac:dyDescent="0.2">
      <c r="A82" s="68" t="s">
        <v>67</v>
      </c>
      <c r="B82" s="155" t="s">
        <v>217</v>
      </c>
      <c r="C82" s="200" t="s">
        <v>175</v>
      </c>
      <c r="D82" s="68" t="s">
        <v>48</v>
      </c>
      <c r="E82" s="165">
        <v>2</v>
      </c>
      <c r="F82" s="64">
        <v>110</v>
      </c>
      <c r="G82" s="48">
        <f>E82*F82</f>
        <v>220</v>
      </c>
      <c r="H82" s="69">
        <f>G82*$H$5+G82</f>
        <v>265.10000000000002</v>
      </c>
    </row>
    <row r="83" spans="1:8" ht="38.25" x14ac:dyDescent="0.2">
      <c r="A83" s="68" t="s">
        <v>68</v>
      </c>
      <c r="B83" s="154">
        <v>83399</v>
      </c>
      <c r="C83" s="105" t="s">
        <v>51</v>
      </c>
      <c r="D83" s="68" t="s">
        <v>48</v>
      </c>
      <c r="E83" s="165">
        <v>2</v>
      </c>
      <c r="F83" s="64">
        <v>31.11</v>
      </c>
      <c r="G83" s="48">
        <f t="shared" ref="G83" si="39">E83*F83</f>
        <v>62.22</v>
      </c>
      <c r="H83" s="69">
        <f t="shared" ref="H83" si="40">G83*$H$5+G83</f>
        <v>74.975099999999998</v>
      </c>
    </row>
    <row r="84" spans="1:8" ht="165.75" x14ac:dyDescent="0.2">
      <c r="A84" s="68" t="s">
        <v>120</v>
      </c>
      <c r="B84" s="155" t="s">
        <v>217</v>
      </c>
      <c r="C84" s="105" t="s">
        <v>156</v>
      </c>
      <c r="D84" s="68" t="s">
        <v>48</v>
      </c>
      <c r="E84" s="201">
        <v>6</v>
      </c>
      <c r="F84" s="64">
        <v>1950</v>
      </c>
      <c r="G84" s="48">
        <f t="shared" ref="G84:G89" si="41">E84*F84</f>
        <v>11700</v>
      </c>
      <c r="H84" s="69">
        <f t="shared" ref="H84:H89" si="42">G84*$H$5+G84</f>
        <v>14098.5</v>
      </c>
    </row>
    <row r="85" spans="1:8" ht="25.5" x14ac:dyDescent="0.2">
      <c r="A85" s="68" t="s">
        <v>69</v>
      </c>
      <c r="B85" s="155" t="s">
        <v>217</v>
      </c>
      <c r="C85" s="105" t="s">
        <v>151</v>
      </c>
      <c r="D85" s="68" t="s">
        <v>4</v>
      </c>
      <c r="E85" s="156">
        <v>88.06</v>
      </c>
      <c r="F85" s="64">
        <v>8.9</v>
      </c>
      <c r="G85" s="48">
        <f t="shared" si="41"/>
        <v>783.73400000000004</v>
      </c>
      <c r="H85" s="69">
        <f t="shared" si="42"/>
        <v>944.39947000000006</v>
      </c>
    </row>
    <row r="86" spans="1:8" ht="25.5" x14ac:dyDescent="0.2">
      <c r="A86" s="68" t="s">
        <v>70</v>
      </c>
      <c r="B86" s="155" t="s">
        <v>217</v>
      </c>
      <c r="C86" s="105" t="s">
        <v>155</v>
      </c>
      <c r="D86" s="68" t="s">
        <v>48</v>
      </c>
      <c r="E86" s="156">
        <v>3</v>
      </c>
      <c r="F86" s="64">
        <v>68</v>
      </c>
      <c r="G86" s="48">
        <f t="shared" si="41"/>
        <v>204</v>
      </c>
      <c r="H86" s="69">
        <f t="shared" si="42"/>
        <v>245.82</v>
      </c>
    </row>
    <row r="87" spans="1:8" ht="51" x14ac:dyDescent="0.2">
      <c r="A87" s="68" t="s">
        <v>71</v>
      </c>
      <c r="B87" s="154">
        <v>91931</v>
      </c>
      <c r="C87" s="105" t="s">
        <v>154</v>
      </c>
      <c r="D87" s="68" t="s">
        <v>4</v>
      </c>
      <c r="E87" s="156">
        <f>E85*2</f>
        <v>176.12</v>
      </c>
      <c r="F87" s="64">
        <v>6.62</v>
      </c>
      <c r="G87" s="48">
        <f t="shared" si="41"/>
        <v>1165.9144000000001</v>
      </c>
      <c r="H87" s="69">
        <f t="shared" si="42"/>
        <v>1404.9268520000001</v>
      </c>
    </row>
    <row r="88" spans="1:8" ht="51" x14ac:dyDescent="0.2">
      <c r="A88" s="68" t="s">
        <v>72</v>
      </c>
      <c r="B88" s="154">
        <v>91931</v>
      </c>
      <c r="C88" s="105" t="s">
        <v>153</v>
      </c>
      <c r="D88" s="68" t="s">
        <v>4</v>
      </c>
      <c r="E88" s="156">
        <f>E85</f>
        <v>88.06</v>
      </c>
      <c r="F88" s="64">
        <v>6.62</v>
      </c>
      <c r="G88" s="48">
        <f t="shared" si="41"/>
        <v>582.95720000000006</v>
      </c>
      <c r="H88" s="69">
        <f t="shared" si="42"/>
        <v>702.46342600000003</v>
      </c>
    </row>
    <row r="89" spans="1:8" ht="51.75" thickBot="1" x14ac:dyDescent="0.25">
      <c r="A89" s="68" t="s">
        <v>73</v>
      </c>
      <c r="B89" s="154">
        <v>91931</v>
      </c>
      <c r="C89" s="105" t="s">
        <v>152</v>
      </c>
      <c r="D89" s="68" t="s">
        <v>4</v>
      </c>
      <c r="E89" s="156">
        <f>E88</f>
        <v>88.06</v>
      </c>
      <c r="F89" s="64">
        <v>6.62</v>
      </c>
      <c r="G89" s="48">
        <f t="shared" si="41"/>
        <v>582.95720000000006</v>
      </c>
      <c r="H89" s="69">
        <f t="shared" si="42"/>
        <v>702.46342600000003</v>
      </c>
    </row>
    <row r="90" spans="1:8" ht="13.5" thickBot="1" x14ac:dyDescent="0.25">
      <c r="A90" s="29"/>
      <c r="B90" s="139"/>
      <c r="C90" s="157"/>
      <c r="D90" s="139"/>
      <c r="E90" s="158"/>
      <c r="F90" s="112" t="s">
        <v>25</v>
      </c>
      <c r="G90" s="22">
        <f>SUM(G82:G89)</f>
        <v>15301.782800000001</v>
      </c>
      <c r="H90" s="23">
        <f>SUM(H82:H89)</f>
        <v>18438.648273999996</v>
      </c>
    </row>
    <row r="91" spans="1:8" x14ac:dyDescent="0.2">
      <c r="A91" s="29"/>
      <c r="B91" s="160"/>
      <c r="C91" s="164"/>
      <c r="D91" s="43"/>
      <c r="E91" s="92"/>
      <c r="F91" s="148"/>
      <c r="G91" s="149"/>
      <c r="H91" s="150"/>
    </row>
    <row r="92" spans="1:8" x14ac:dyDescent="0.2">
      <c r="A92" s="8" t="s">
        <v>42</v>
      </c>
      <c r="B92" s="166"/>
      <c r="C92" s="11" t="s">
        <v>44</v>
      </c>
      <c r="D92" s="167"/>
      <c r="E92" s="168"/>
      <c r="F92" s="169"/>
      <c r="G92" s="169"/>
      <c r="H92" s="169"/>
    </row>
    <row r="93" spans="1:8" s="147" customFormat="1" ht="54.75" customHeight="1" x14ac:dyDescent="0.2">
      <c r="A93" s="29" t="s">
        <v>64</v>
      </c>
      <c r="B93" s="155" t="s">
        <v>217</v>
      </c>
      <c r="C93" s="204" t="s">
        <v>220</v>
      </c>
      <c r="D93" s="29" t="s">
        <v>48</v>
      </c>
      <c r="E93" s="205">
        <v>1</v>
      </c>
      <c r="F93" s="203">
        <v>28900</v>
      </c>
      <c r="G93" s="48">
        <f t="shared" ref="G93:G95" si="43">E93*F93</f>
        <v>28900</v>
      </c>
      <c r="H93" s="69">
        <f t="shared" ref="H93:H95" si="44">G93*$H$5+G93</f>
        <v>34824.5</v>
      </c>
    </row>
    <row r="94" spans="1:8" s="147" customFormat="1" ht="42" customHeight="1" x14ac:dyDescent="0.2">
      <c r="A94" s="29" t="s">
        <v>45</v>
      </c>
      <c r="B94" s="155" t="s">
        <v>217</v>
      </c>
      <c r="C94" s="204" t="s">
        <v>145</v>
      </c>
      <c r="D94" s="29" t="s">
        <v>48</v>
      </c>
      <c r="E94" s="205">
        <v>1</v>
      </c>
      <c r="F94" s="203">
        <v>18900</v>
      </c>
      <c r="G94" s="48">
        <f t="shared" si="43"/>
        <v>18900</v>
      </c>
      <c r="H94" s="69">
        <f t="shared" si="44"/>
        <v>22774.5</v>
      </c>
    </row>
    <row r="95" spans="1:8" s="147" customFormat="1" ht="25.5" x14ac:dyDescent="0.2">
      <c r="A95" s="29" t="s">
        <v>114</v>
      </c>
      <c r="B95" s="155" t="s">
        <v>217</v>
      </c>
      <c r="C95" s="204" t="s">
        <v>147</v>
      </c>
      <c r="D95" s="29" t="s">
        <v>48</v>
      </c>
      <c r="E95" s="205">
        <v>1</v>
      </c>
      <c r="F95" s="203">
        <v>2890</v>
      </c>
      <c r="G95" s="48">
        <f t="shared" si="43"/>
        <v>2890</v>
      </c>
      <c r="H95" s="69">
        <f t="shared" si="44"/>
        <v>3482.45</v>
      </c>
    </row>
    <row r="96" spans="1:8" s="147" customFormat="1" ht="38.25" x14ac:dyDescent="0.2">
      <c r="A96" s="29" t="s">
        <v>115</v>
      </c>
      <c r="B96" s="155" t="s">
        <v>217</v>
      </c>
      <c r="C96" s="204" t="s">
        <v>148</v>
      </c>
      <c r="D96" s="29" t="s">
        <v>48</v>
      </c>
      <c r="E96" s="205">
        <v>2</v>
      </c>
      <c r="F96" s="203">
        <v>2500</v>
      </c>
      <c r="G96" s="48">
        <f t="shared" ref="G96:G102" si="45">E96*F96</f>
        <v>5000</v>
      </c>
      <c r="H96" s="69">
        <f t="shared" ref="H96:H102" si="46">G96*$H$5+G96</f>
        <v>6025</v>
      </c>
    </row>
    <row r="97" spans="1:8" s="147" customFormat="1" ht="63.75" x14ac:dyDescent="0.2">
      <c r="A97" s="29" t="s">
        <v>116</v>
      </c>
      <c r="B97" s="155" t="s">
        <v>217</v>
      </c>
      <c r="C97" s="204" t="s">
        <v>221</v>
      </c>
      <c r="D97" s="29" t="s">
        <v>4</v>
      </c>
      <c r="E97" s="205">
        <v>22</v>
      </c>
      <c r="F97" s="203">
        <v>48</v>
      </c>
      <c r="G97" s="48">
        <f t="shared" si="45"/>
        <v>1056</v>
      </c>
      <c r="H97" s="69">
        <f t="shared" si="46"/>
        <v>1272.48</v>
      </c>
    </row>
    <row r="98" spans="1:8" s="147" customFormat="1" ht="16.5" customHeight="1" x14ac:dyDescent="0.2">
      <c r="A98" s="29" t="s">
        <v>117</v>
      </c>
      <c r="B98" s="155" t="s">
        <v>217</v>
      </c>
      <c r="C98" s="204" t="s">
        <v>146</v>
      </c>
      <c r="D98" s="29" t="s">
        <v>48</v>
      </c>
      <c r="E98" s="205">
        <v>2</v>
      </c>
      <c r="F98" s="203">
        <v>250</v>
      </c>
      <c r="G98" s="48">
        <f t="shared" si="45"/>
        <v>500</v>
      </c>
      <c r="H98" s="69">
        <f t="shared" si="46"/>
        <v>602.5</v>
      </c>
    </row>
    <row r="99" spans="1:8" s="170" customFormat="1" ht="25.5" x14ac:dyDescent="0.2">
      <c r="A99" s="29" t="s">
        <v>118</v>
      </c>
      <c r="B99" s="155" t="s">
        <v>217</v>
      </c>
      <c r="C99" s="204" t="s">
        <v>222</v>
      </c>
      <c r="D99" s="206" t="s">
        <v>48</v>
      </c>
      <c r="E99" s="139">
        <v>11</v>
      </c>
      <c r="F99" s="203">
        <v>390</v>
      </c>
      <c r="G99" s="48">
        <f t="shared" si="45"/>
        <v>4290</v>
      </c>
      <c r="H99" s="69">
        <f t="shared" si="46"/>
        <v>5169.45</v>
      </c>
    </row>
    <row r="100" spans="1:8" s="170" customFormat="1" ht="25.5" x14ac:dyDescent="0.2">
      <c r="A100" s="29" t="s">
        <v>119</v>
      </c>
      <c r="B100" s="155" t="s">
        <v>217</v>
      </c>
      <c r="C100" s="204" t="s">
        <v>123</v>
      </c>
      <c r="D100" s="207" t="s">
        <v>48</v>
      </c>
      <c r="E100" s="139">
        <v>6</v>
      </c>
      <c r="F100" s="203">
        <v>250</v>
      </c>
      <c r="G100" s="48">
        <f t="shared" si="45"/>
        <v>1500</v>
      </c>
      <c r="H100" s="69">
        <f t="shared" si="46"/>
        <v>1807.5</v>
      </c>
    </row>
    <row r="101" spans="1:8" s="170" customFormat="1" x14ac:dyDescent="0.2">
      <c r="A101" s="29" t="s">
        <v>177</v>
      </c>
      <c r="B101" s="155" t="s">
        <v>217</v>
      </c>
      <c r="C101" s="204" t="s">
        <v>124</v>
      </c>
      <c r="D101" s="207" t="s">
        <v>48</v>
      </c>
      <c r="E101" s="139">
        <v>1</v>
      </c>
      <c r="F101" s="203">
        <v>220</v>
      </c>
      <c r="G101" s="48">
        <f t="shared" si="45"/>
        <v>220</v>
      </c>
      <c r="H101" s="69">
        <f t="shared" si="46"/>
        <v>265.10000000000002</v>
      </c>
    </row>
    <row r="102" spans="1:8" s="170" customFormat="1" ht="14.25" customHeight="1" x14ac:dyDescent="0.2">
      <c r="A102" s="29" t="s">
        <v>178</v>
      </c>
      <c r="B102" s="155" t="s">
        <v>217</v>
      </c>
      <c r="C102" s="204" t="s">
        <v>176</v>
      </c>
      <c r="D102" s="206" t="s">
        <v>48</v>
      </c>
      <c r="E102" s="139">
        <v>4</v>
      </c>
      <c r="F102" s="203">
        <v>420</v>
      </c>
      <c r="G102" s="48">
        <f t="shared" si="45"/>
        <v>1680</v>
      </c>
      <c r="H102" s="69">
        <f t="shared" si="46"/>
        <v>2024.4</v>
      </c>
    </row>
    <row r="103" spans="1:8" ht="38.25" x14ac:dyDescent="0.2">
      <c r="A103" s="29" t="s">
        <v>179</v>
      </c>
      <c r="B103" s="131">
        <v>5213444</v>
      </c>
      <c r="C103" s="171" t="s">
        <v>170</v>
      </c>
      <c r="D103" s="134" t="s">
        <v>171</v>
      </c>
      <c r="E103" s="95">
        <v>7</v>
      </c>
      <c r="F103" s="84">
        <v>158.35</v>
      </c>
      <c r="G103" s="48">
        <f t="shared" ref="G103" si="47">E103*F103</f>
        <v>1108.45</v>
      </c>
      <c r="H103" s="69">
        <f t="shared" ref="H103" si="48">G103*$H$5+G103</f>
        <v>1335.6822500000001</v>
      </c>
    </row>
    <row r="104" spans="1:8" ht="26.25" thickBot="1" x14ac:dyDescent="0.25">
      <c r="A104" s="29" t="s">
        <v>180</v>
      </c>
      <c r="B104" s="132">
        <v>5213855</v>
      </c>
      <c r="C104" s="172" t="s">
        <v>172</v>
      </c>
      <c r="D104" s="133" t="s">
        <v>171</v>
      </c>
      <c r="E104" s="95">
        <v>7</v>
      </c>
      <c r="F104" s="173">
        <v>301.86</v>
      </c>
      <c r="G104" s="48">
        <f t="shared" ref="G104" si="49">E104*F104</f>
        <v>2113.02</v>
      </c>
      <c r="H104" s="69">
        <f t="shared" ref="H104" si="50">G104*$H$5+G104</f>
        <v>2546.1891000000001</v>
      </c>
    </row>
    <row r="105" spans="1:8" ht="13.5" thickBot="1" x14ac:dyDescent="0.25">
      <c r="A105" s="130"/>
      <c r="B105" s="174"/>
      <c r="C105" s="175"/>
      <c r="D105" s="176"/>
      <c r="E105" s="177"/>
      <c r="F105" s="79" t="s">
        <v>25</v>
      </c>
      <c r="G105" s="80">
        <f>SUM(G93:G104)</f>
        <v>68157.47</v>
      </c>
      <c r="H105" s="81">
        <f>SUM(H93:H104)</f>
        <v>82129.751349999991</v>
      </c>
    </row>
    <row r="106" spans="1:8" x14ac:dyDescent="0.2">
      <c r="A106" s="130"/>
      <c r="B106" s="174"/>
      <c r="C106" s="175"/>
      <c r="D106" s="176"/>
      <c r="E106" s="177"/>
      <c r="F106" s="82"/>
      <c r="G106" s="82"/>
      <c r="H106" s="82"/>
    </row>
    <row r="107" spans="1:8" x14ac:dyDescent="0.2">
      <c r="A107" s="65" t="s">
        <v>52</v>
      </c>
      <c r="B107" s="178"/>
      <c r="C107" s="66" t="s">
        <v>8</v>
      </c>
      <c r="D107" s="66"/>
      <c r="E107" s="67"/>
      <c r="F107" s="67"/>
      <c r="G107" s="67"/>
      <c r="H107" s="67"/>
    </row>
    <row r="108" spans="1:8" s="170" customFormat="1" ht="38.25" x14ac:dyDescent="0.2">
      <c r="A108" s="29" t="s">
        <v>160</v>
      </c>
      <c r="B108" s="30" t="s">
        <v>46</v>
      </c>
      <c r="C108" s="51" t="s">
        <v>47</v>
      </c>
      <c r="D108" s="43" t="s">
        <v>3</v>
      </c>
      <c r="E108" s="180">
        <f>(66)+(40*0.2)</f>
        <v>74</v>
      </c>
      <c r="F108" s="64">
        <v>13.02</v>
      </c>
      <c r="G108" s="48">
        <f>E108*F108</f>
        <v>963.48</v>
      </c>
      <c r="H108" s="49">
        <f>G108*$H$5+G108</f>
        <v>1160.9934000000001</v>
      </c>
    </row>
    <row r="109" spans="1:8" s="170" customFormat="1" ht="25.5" x14ac:dyDescent="0.2">
      <c r="A109" s="29" t="s">
        <v>161</v>
      </c>
      <c r="B109" s="30" t="s">
        <v>164</v>
      </c>
      <c r="C109" s="51" t="s">
        <v>163</v>
      </c>
      <c r="D109" s="43" t="s">
        <v>3</v>
      </c>
      <c r="E109" s="179">
        <f>E110</f>
        <v>7.82</v>
      </c>
      <c r="F109" s="64">
        <v>2.33</v>
      </c>
      <c r="G109" s="48">
        <f>E109*F109</f>
        <v>18.220600000000001</v>
      </c>
      <c r="H109" s="49">
        <f>G109*$H$5+G109</f>
        <v>21.955823000000002</v>
      </c>
    </row>
    <row r="110" spans="1:8" s="170" customFormat="1" ht="39" thickBot="1" x14ac:dyDescent="0.25">
      <c r="A110" s="29" t="s">
        <v>162</v>
      </c>
      <c r="B110" s="30" t="s">
        <v>166</v>
      </c>
      <c r="C110" s="51" t="s">
        <v>165</v>
      </c>
      <c r="D110" s="43" t="s">
        <v>3</v>
      </c>
      <c r="E110" s="180">
        <f>E55</f>
        <v>7.82</v>
      </c>
      <c r="F110" s="202">
        <v>11.87</v>
      </c>
      <c r="G110" s="48">
        <f>E110*F110</f>
        <v>92.823399999999992</v>
      </c>
      <c r="H110" s="49">
        <f>G110*$H$5+G110</f>
        <v>111.85219699999999</v>
      </c>
    </row>
    <row r="111" spans="1:8" s="170" customFormat="1" ht="13.5" thickBot="1" x14ac:dyDescent="0.25">
      <c r="A111" s="29"/>
      <c r="B111" s="46"/>
      <c r="C111" s="47"/>
      <c r="D111" s="43"/>
      <c r="E111" s="158"/>
      <c r="F111" s="19" t="s">
        <v>25</v>
      </c>
      <c r="G111" s="20">
        <f>SUM(G108:G110)</f>
        <v>1074.5239999999999</v>
      </c>
      <c r="H111" s="21">
        <f>SUM(H108:H110)</f>
        <v>1294.80142</v>
      </c>
    </row>
    <row r="112" spans="1:8" s="170" customFormat="1" x14ac:dyDescent="0.2">
      <c r="A112" s="68"/>
      <c r="B112" s="181"/>
      <c r="C112" s="70"/>
      <c r="D112" s="74"/>
      <c r="E112" s="85"/>
      <c r="F112" s="84"/>
      <c r="G112" s="48"/>
      <c r="H112" s="69"/>
    </row>
    <row r="113" spans="1:8" s="170" customFormat="1" x14ac:dyDescent="0.2">
      <c r="A113" s="8" t="s">
        <v>74</v>
      </c>
      <c r="B113" s="166"/>
      <c r="C113" s="11" t="s">
        <v>49</v>
      </c>
      <c r="D113" s="167"/>
      <c r="E113" s="168"/>
      <c r="F113" s="169"/>
      <c r="G113" s="169"/>
      <c r="H113" s="169"/>
    </row>
    <row r="114" spans="1:8" s="170" customFormat="1" ht="25.5" x14ac:dyDescent="0.2">
      <c r="A114" s="29" t="s">
        <v>75</v>
      </c>
      <c r="B114" s="155" t="s">
        <v>217</v>
      </c>
      <c r="C114" s="51" t="s">
        <v>223</v>
      </c>
      <c r="D114" s="43" t="s">
        <v>31</v>
      </c>
      <c r="E114" s="208">
        <v>1</v>
      </c>
      <c r="F114" s="203">
        <v>45</v>
      </c>
      <c r="G114" s="48">
        <f t="shared" ref="G114:G117" si="51">E114*F114</f>
        <v>45</v>
      </c>
      <c r="H114" s="69">
        <f t="shared" ref="H114:H117" si="52">G114*$H$5+G114</f>
        <v>54.225000000000001</v>
      </c>
    </row>
    <row r="115" spans="1:8" s="170" customFormat="1" x14ac:dyDescent="0.2">
      <c r="A115" s="29" t="s">
        <v>111</v>
      </c>
      <c r="B115" s="155" t="s">
        <v>217</v>
      </c>
      <c r="C115" s="51" t="s">
        <v>149</v>
      </c>
      <c r="D115" s="206" t="s">
        <v>31</v>
      </c>
      <c r="E115" s="208">
        <v>10</v>
      </c>
      <c r="F115" s="203">
        <v>12</v>
      </c>
      <c r="G115" s="48">
        <f t="shared" si="51"/>
        <v>120</v>
      </c>
      <c r="H115" s="69">
        <f t="shared" si="52"/>
        <v>144.6</v>
      </c>
    </row>
    <row r="116" spans="1:8" s="170" customFormat="1" x14ac:dyDescent="0.2">
      <c r="A116" s="29" t="s">
        <v>112</v>
      </c>
      <c r="B116" s="155" t="s">
        <v>217</v>
      </c>
      <c r="C116" s="51" t="s">
        <v>150</v>
      </c>
      <c r="D116" s="206" t="s">
        <v>31</v>
      </c>
      <c r="E116" s="208">
        <v>50</v>
      </c>
      <c r="F116" s="203">
        <v>11</v>
      </c>
      <c r="G116" s="48">
        <f t="shared" si="51"/>
        <v>550</v>
      </c>
      <c r="H116" s="69">
        <f t="shared" si="52"/>
        <v>662.75</v>
      </c>
    </row>
    <row r="117" spans="1:8" s="170" customFormat="1" ht="26.25" thickBot="1" x14ac:dyDescent="0.25">
      <c r="A117" s="29" t="s">
        <v>113</v>
      </c>
      <c r="B117" s="71" t="s">
        <v>168</v>
      </c>
      <c r="C117" s="51" t="s">
        <v>169</v>
      </c>
      <c r="D117" s="43" t="s">
        <v>3</v>
      </c>
      <c r="E117" s="208">
        <v>100</v>
      </c>
      <c r="F117" s="203">
        <v>13.37</v>
      </c>
      <c r="G117" s="48">
        <f t="shared" si="51"/>
        <v>1337</v>
      </c>
      <c r="H117" s="69">
        <f t="shared" si="52"/>
        <v>1611.085</v>
      </c>
    </row>
    <row r="118" spans="1:8" s="182" customFormat="1" ht="15" customHeight="1" thickBot="1" x14ac:dyDescent="0.3">
      <c r="A118" s="130"/>
      <c r="B118" s="174"/>
      <c r="C118" s="72"/>
      <c r="D118" s="176"/>
      <c r="E118" s="177"/>
      <c r="F118" s="79" t="s">
        <v>25</v>
      </c>
      <c r="G118" s="80">
        <f>SUM(G114:G117)</f>
        <v>2052</v>
      </c>
      <c r="H118" s="81">
        <f>SUM(H114:H117)</f>
        <v>2472.66</v>
      </c>
    </row>
    <row r="119" spans="1:8" s="182" customFormat="1" ht="16.5" x14ac:dyDescent="0.25">
      <c r="A119" s="130"/>
      <c r="B119" s="183"/>
      <c r="C119" s="75"/>
      <c r="D119" s="184"/>
      <c r="E119" s="185"/>
      <c r="F119" s="76"/>
      <c r="G119" s="77"/>
      <c r="H119" s="78"/>
    </row>
    <row r="120" spans="1:8" x14ac:dyDescent="0.2">
      <c r="A120" s="8" t="s">
        <v>43</v>
      </c>
      <c r="B120" s="167"/>
      <c r="C120" s="10" t="s">
        <v>26</v>
      </c>
      <c r="D120" s="186"/>
      <c r="E120" s="167"/>
      <c r="F120" s="167"/>
      <c r="G120" s="167"/>
      <c r="H120" s="167"/>
    </row>
    <row r="121" spans="1:8" ht="13.5" thickBot="1" x14ac:dyDescent="0.25">
      <c r="A121" s="68" t="s">
        <v>63</v>
      </c>
      <c r="B121" s="86"/>
      <c r="C121" s="151" t="s">
        <v>9</v>
      </c>
      <c r="D121" s="50" t="s">
        <v>3</v>
      </c>
      <c r="E121" s="95">
        <v>220</v>
      </c>
      <c r="F121" s="64">
        <v>2.15</v>
      </c>
      <c r="G121" s="48">
        <f>E121*F121</f>
        <v>473</v>
      </c>
      <c r="H121" s="69">
        <f>G121*$H$5+G121</f>
        <v>569.96500000000003</v>
      </c>
    </row>
    <row r="122" spans="1:8" ht="13.5" thickBot="1" x14ac:dyDescent="0.25">
      <c r="A122" s="130"/>
      <c r="B122" s="187"/>
      <c r="C122" s="188"/>
      <c r="D122" s="189"/>
      <c r="E122" s="190"/>
      <c r="F122" s="19" t="s">
        <v>25</v>
      </c>
      <c r="G122" s="20">
        <f>SUM(G121:G121)</f>
        <v>473</v>
      </c>
      <c r="H122" s="21">
        <f>SUM(H121:H121)</f>
        <v>569.96500000000003</v>
      </c>
    </row>
    <row r="123" spans="1:8" ht="13.5" thickBot="1" x14ac:dyDescent="0.25">
      <c r="A123" s="130"/>
      <c r="B123" s="187"/>
      <c r="C123" s="188"/>
      <c r="D123" s="189"/>
      <c r="E123" s="191"/>
      <c r="F123" s="192"/>
      <c r="G123" s="17"/>
      <c r="H123" s="18"/>
    </row>
    <row r="124" spans="1:8" ht="16.5" thickBot="1" x14ac:dyDescent="0.25">
      <c r="A124" s="212" t="s">
        <v>24</v>
      </c>
      <c r="B124" s="213"/>
      <c r="C124" s="213"/>
      <c r="D124" s="213"/>
      <c r="E124" s="213"/>
      <c r="F124" s="213"/>
      <c r="G124" s="214"/>
      <c r="H124" s="28">
        <f>H14+H19+H57+H79+H90+H105+H111+H118+H122</f>
        <v>281740.75215147517</v>
      </c>
    </row>
    <row r="125" spans="1:8" ht="15.75" x14ac:dyDescent="0.2">
      <c r="A125" s="25"/>
      <c r="B125" s="26"/>
      <c r="C125" s="26"/>
      <c r="D125" s="26"/>
      <c r="E125" s="73"/>
      <c r="F125" s="26"/>
      <c r="G125" s="26"/>
      <c r="H125" s="27"/>
    </row>
    <row r="126" spans="1:8" x14ac:dyDescent="0.2">
      <c r="A126" s="40"/>
      <c r="B126" s="40"/>
      <c r="C126" s="215" t="s">
        <v>35</v>
      </c>
      <c r="D126" s="216"/>
      <c r="E126" s="209" t="s">
        <v>36</v>
      </c>
      <c r="F126" s="209"/>
      <c r="G126" s="209"/>
      <c r="H126" s="209"/>
    </row>
  </sheetData>
  <mergeCells count="21">
    <mergeCell ref="A1:H1"/>
    <mergeCell ref="A2:H3"/>
    <mergeCell ref="A7:A8"/>
    <mergeCell ref="B7:B8"/>
    <mergeCell ref="C7:C8"/>
    <mergeCell ref="D7:D8"/>
    <mergeCell ref="E7:E8"/>
    <mergeCell ref="A5:B5"/>
    <mergeCell ref="A4:B4"/>
    <mergeCell ref="C5:F5"/>
    <mergeCell ref="A6:H6"/>
    <mergeCell ref="G4:H4"/>
    <mergeCell ref="C4:F4"/>
    <mergeCell ref="F7:F8"/>
    <mergeCell ref="G7:G8"/>
    <mergeCell ref="H7:H8"/>
    <mergeCell ref="E126:H126"/>
    <mergeCell ref="C21:E21"/>
    <mergeCell ref="A124:G124"/>
    <mergeCell ref="C126:D126"/>
    <mergeCell ref="C81:E81"/>
  </mergeCells>
  <dataValidations count="1">
    <dataValidation allowBlank="1" showErrorMessage="1" error="Não é permitido digitar texto ou números com ponto." sqref="B103:B104">
      <formula1>0</formula1>
      <formula2>0</formula2>
    </dataValidation>
  </dataValidations>
  <printOptions horizontalCentered="1"/>
  <pageMargins left="0.31496062992125984" right="0.19685039370078741" top="0.39370078740157483" bottom="0.39370078740157483" header="0.19685039370078741" footer="0.51181102362204722"/>
  <pageSetup paperSize="9" scale="75" orientation="portrait" r:id="rId1"/>
  <headerFooter alignWithMargins="0"/>
  <rowBreaks count="3" manualBreakCount="3">
    <brk id="38" max="7" man="1"/>
    <brk id="64" max="7" man="1"/>
    <brk id="95" max="7"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workbookViewId="0">
      <selection activeCell="D35" sqref="D35"/>
    </sheetView>
  </sheetViews>
  <sheetFormatPr defaultRowHeight="12.75" x14ac:dyDescent="0.2"/>
  <cols>
    <col min="1" max="1" width="4.5703125" customWidth="1"/>
    <col min="2" max="2" width="9" customWidth="1"/>
    <col min="3" max="3" width="16" customWidth="1"/>
    <col min="4" max="4" width="15.42578125" customWidth="1"/>
    <col min="5" max="5" width="14.28515625" style="56" bestFit="1" customWidth="1"/>
    <col min="6" max="6" width="7.28515625" bestFit="1" customWidth="1"/>
    <col min="7" max="7" width="14.28515625" bestFit="1" customWidth="1"/>
    <col min="8" max="8" width="7.28515625" customWidth="1"/>
    <col min="9" max="9" width="14.28515625" style="56" bestFit="1" customWidth="1"/>
    <col min="10" max="10" width="8.28515625" bestFit="1" customWidth="1"/>
    <col min="11" max="11" width="14.28515625" style="56" bestFit="1" customWidth="1"/>
    <col min="12" max="12" width="8.28515625" bestFit="1" customWidth="1"/>
  </cols>
  <sheetData>
    <row r="1" spans="1:23" ht="21" thickBot="1" x14ac:dyDescent="0.25">
      <c r="A1" s="264" t="s">
        <v>17</v>
      </c>
      <c r="B1" s="265"/>
      <c r="C1" s="265"/>
      <c r="D1" s="265"/>
      <c r="E1" s="265"/>
      <c r="F1" s="265"/>
      <c r="G1" s="265"/>
      <c r="H1" s="265"/>
      <c r="I1" s="265"/>
      <c r="J1" s="265"/>
      <c r="K1" s="262"/>
      <c r="L1" s="263"/>
      <c r="N1" s="266"/>
      <c r="O1" s="266"/>
      <c r="P1" s="266"/>
      <c r="Q1" s="266"/>
      <c r="R1" s="266"/>
      <c r="S1" s="266"/>
      <c r="T1" s="6"/>
      <c r="U1" s="2"/>
      <c r="V1" s="2"/>
      <c r="W1" s="2"/>
    </row>
    <row r="2" spans="1:23" ht="18.75" thickBot="1" x14ac:dyDescent="0.25">
      <c r="A2" s="273" t="s">
        <v>16</v>
      </c>
      <c r="B2" s="274"/>
      <c r="C2" s="274"/>
      <c r="D2" s="274"/>
      <c r="E2" s="274"/>
      <c r="F2" s="274"/>
      <c r="G2" s="274"/>
      <c r="H2" s="274"/>
      <c r="I2" s="274"/>
      <c r="J2" s="274"/>
      <c r="K2" s="53"/>
      <c r="L2" s="7"/>
      <c r="N2" s="277"/>
      <c r="O2" s="277"/>
      <c r="P2" s="277"/>
      <c r="Q2" s="277"/>
      <c r="R2" s="277"/>
      <c r="S2" s="277"/>
      <c r="T2" s="3"/>
      <c r="U2" s="2"/>
      <c r="V2" s="2"/>
      <c r="W2" s="2"/>
    </row>
    <row r="3" spans="1:23" ht="18" x14ac:dyDescent="0.2">
      <c r="A3" s="275" t="s">
        <v>53</v>
      </c>
      <c r="B3" s="276"/>
      <c r="C3" s="276"/>
      <c r="D3" s="276"/>
      <c r="E3" s="276"/>
      <c r="F3" s="276"/>
      <c r="G3" s="276"/>
      <c r="H3" s="276"/>
      <c r="I3" s="276"/>
      <c r="J3" s="276"/>
      <c r="K3" s="54"/>
      <c r="L3" s="5"/>
      <c r="N3" s="1"/>
      <c r="O3" s="1"/>
      <c r="P3" s="1"/>
      <c r="Q3" s="1"/>
      <c r="R3" s="1"/>
      <c r="S3" s="1"/>
      <c r="T3" s="3"/>
      <c r="U3" s="2"/>
      <c r="V3" s="2"/>
      <c r="W3" s="2"/>
    </row>
    <row r="4" spans="1:23" ht="18" x14ac:dyDescent="0.2">
      <c r="A4" s="278" t="s">
        <v>167</v>
      </c>
      <c r="B4" s="279"/>
      <c r="C4" s="279"/>
      <c r="D4" s="280"/>
      <c r="E4" s="280"/>
      <c r="F4" s="280"/>
      <c r="G4" s="280"/>
      <c r="H4" s="280"/>
      <c r="I4" s="280"/>
      <c r="J4" s="280"/>
      <c r="K4" s="267"/>
      <c r="L4" s="268"/>
      <c r="N4" s="1"/>
      <c r="O4" s="1"/>
      <c r="P4" s="1"/>
      <c r="Q4" s="1"/>
      <c r="R4" s="1"/>
      <c r="S4" s="1"/>
      <c r="T4" s="3"/>
      <c r="U4" s="2"/>
      <c r="V4" s="2"/>
      <c r="W4" s="2"/>
    </row>
    <row r="5" spans="1:23" ht="15.75" x14ac:dyDescent="0.2">
      <c r="A5" s="271"/>
      <c r="B5" s="272"/>
      <c r="C5" s="272"/>
      <c r="D5" s="272"/>
      <c r="E5" s="272"/>
      <c r="F5" s="272"/>
      <c r="G5" s="272"/>
      <c r="H5" s="272"/>
      <c r="I5" s="272"/>
      <c r="J5" s="52"/>
      <c r="K5" s="269"/>
      <c r="L5" s="270"/>
      <c r="N5" s="2"/>
      <c r="O5" s="2"/>
      <c r="P5" s="2"/>
      <c r="Q5" s="2"/>
      <c r="R5" s="2"/>
      <c r="S5" s="2"/>
      <c r="T5" s="2"/>
      <c r="U5" s="2"/>
      <c r="V5" s="2"/>
      <c r="W5" s="2"/>
    </row>
    <row r="6" spans="1:23" x14ac:dyDescent="0.2">
      <c r="A6" s="254" t="s">
        <v>18</v>
      </c>
      <c r="B6" s="255" t="s">
        <v>19</v>
      </c>
      <c r="C6" s="255"/>
      <c r="D6" s="255"/>
      <c r="E6" s="250" t="s">
        <v>10</v>
      </c>
      <c r="F6" s="250"/>
      <c r="G6" s="250"/>
      <c r="H6" s="250"/>
      <c r="I6" s="250"/>
      <c r="J6" s="250"/>
      <c r="K6" s="256" t="s">
        <v>11</v>
      </c>
      <c r="L6" s="257"/>
      <c r="N6" s="2"/>
      <c r="O6" s="2"/>
      <c r="P6" s="2"/>
      <c r="Q6" s="2"/>
      <c r="R6" s="2"/>
      <c r="S6" s="2"/>
      <c r="T6" s="2"/>
      <c r="U6" s="2"/>
      <c r="V6" s="2"/>
      <c r="W6" s="2"/>
    </row>
    <row r="7" spans="1:23" x14ac:dyDescent="0.2">
      <c r="A7" s="254"/>
      <c r="B7" s="255"/>
      <c r="C7" s="255"/>
      <c r="D7" s="255"/>
      <c r="E7" s="258" t="s">
        <v>6</v>
      </c>
      <c r="F7" s="259"/>
      <c r="G7" s="260" t="s">
        <v>7</v>
      </c>
      <c r="H7" s="261"/>
      <c r="I7" s="258" t="s">
        <v>173</v>
      </c>
      <c r="J7" s="259"/>
      <c r="K7" s="256"/>
      <c r="L7" s="257"/>
      <c r="N7" s="2"/>
      <c r="O7" s="2"/>
      <c r="P7" s="2"/>
      <c r="Q7" s="2"/>
      <c r="R7" s="2"/>
      <c r="S7" s="2"/>
      <c r="T7" s="2"/>
      <c r="U7" s="2"/>
      <c r="V7" s="2"/>
      <c r="W7" s="2"/>
    </row>
    <row r="8" spans="1:23" s="37" customFormat="1" x14ac:dyDescent="0.2">
      <c r="A8" s="254"/>
      <c r="B8" s="255"/>
      <c r="C8" s="255"/>
      <c r="D8" s="255"/>
      <c r="E8" s="55" t="s">
        <v>12</v>
      </c>
      <c r="F8" s="35" t="s">
        <v>13</v>
      </c>
      <c r="G8" s="194"/>
      <c r="H8" s="194"/>
      <c r="I8" s="55" t="s">
        <v>12</v>
      </c>
      <c r="J8" s="35" t="s">
        <v>13</v>
      </c>
      <c r="K8" s="55" t="s">
        <v>12</v>
      </c>
      <c r="L8" s="36" t="s">
        <v>13</v>
      </c>
      <c r="N8" s="38"/>
      <c r="O8" s="38"/>
      <c r="P8" s="38"/>
      <c r="Q8" s="38"/>
      <c r="R8" s="38"/>
      <c r="S8" s="38"/>
      <c r="T8" s="38"/>
      <c r="U8" s="38"/>
      <c r="V8" s="38"/>
      <c r="W8" s="38"/>
    </row>
    <row r="9" spans="1:23" x14ac:dyDescent="0.2">
      <c r="A9" s="39">
        <v>1</v>
      </c>
      <c r="B9" s="236" t="str">
        <f>Orçamento!C10</f>
        <v>SERVIÇOS INICIAIS</v>
      </c>
      <c r="C9" s="237"/>
      <c r="D9" s="237"/>
      <c r="E9" s="87">
        <f t="shared" ref="E9:E17" si="0">F9*K9</f>
        <v>2411.4580500000002</v>
      </c>
      <c r="F9" s="58">
        <v>1</v>
      </c>
      <c r="G9" s="195">
        <f>H9*$K9</f>
        <v>0</v>
      </c>
      <c r="H9" s="196"/>
      <c r="I9" s="87">
        <f>J9*$K9</f>
        <v>0</v>
      </c>
      <c r="J9" s="58"/>
      <c r="K9" s="59">
        <f>Orçamento!H14</f>
        <v>2411.4580500000002</v>
      </c>
      <c r="L9" s="31">
        <f t="shared" ref="L9:L16" si="1">K9/$K$19</f>
        <v>8.5591382559506452E-3</v>
      </c>
    </row>
    <row r="10" spans="1:23" x14ac:dyDescent="0.2">
      <c r="A10" s="39">
        <v>2</v>
      </c>
      <c r="B10" s="236" t="str">
        <f>Orçamento!C16</f>
        <v>DEMOLIÇÃO</v>
      </c>
      <c r="C10" s="237"/>
      <c r="D10" s="237"/>
      <c r="E10" s="87">
        <f t="shared" si="0"/>
        <v>2406.1825599999997</v>
      </c>
      <c r="F10" s="58">
        <v>1</v>
      </c>
      <c r="G10" s="195">
        <f t="shared" ref="G10:I17" si="2">H10*$K10</f>
        <v>0</v>
      </c>
      <c r="H10" s="196"/>
      <c r="I10" s="87">
        <f t="shared" si="2"/>
        <v>0</v>
      </c>
      <c r="J10" s="58"/>
      <c r="K10" s="59">
        <f>Orçamento!H19</f>
        <v>2406.1825599999997</v>
      </c>
      <c r="L10" s="31">
        <f t="shared" si="1"/>
        <v>8.5404136307066399E-3</v>
      </c>
    </row>
    <row r="11" spans="1:23" x14ac:dyDescent="0.2">
      <c r="A11" s="39">
        <v>3</v>
      </c>
      <c r="B11" s="236" t="str">
        <f>Orçamento!C21</f>
        <v xml:space="preserve">CERCAS E EQUIPAMENTOS DE CONCRETO </v>
      </c>
      <c r="C11" s="237"/>
      <c r="D11" s="237"/>
      <c r="E11" s="87">
        <f t="shared" si="0"/>
        <v>15291.905018990077</v>
      </c>
      <c r="F11" s="58">
        <v>0.4</v>
      </c>
      <c r="G11" s="195">
        <f t="shared" si="2"/>
        <v>15291.905018990077</v>
      </c>
      <c r="H11" s="196">
        <v>0.4</v>
      </c>
      <c r="I11" s="87">
        <f t="shared" si="2"/>
        <v>7645.9525094950386</v>
      </c>
      <c r="J11" s="58">
        <v>0.2</v>
      </c>
      <c r="K11" s="59">
        <f>Orçamento!H57</f>
        <v>38229.762547475191</v>
      </c>
      <c r="L11" s="31">
        <f t="shared" si="1"/>
        <v>0.13569127737304162</v>
      </c>
    </row>
    <row r="12" spans="1:23" x14ac:dyDescent="0.2">
      <c r="A12" s="39">
        <v>4</v>
      </c>
      <c r="B12" s="236" t="str">
        <f>Orçamento!C59</f>
        <v>PAVIMENTAÇÃO</v>
      </c>
      <c r="C12" s="237"/>
      <c r="D12" s="237"/>
      <c r="E12" s="87">
        <f t="shared" si="0"/>
        <v>53515.009180000008</v>
      </c>
      <c r="F12" s="58">
        <v>0.4</v>
      </c>
      <c r="G12" s="195">
        <f t="shared" si="2"/>
        <v>66893.761475000007</v>
      </c>
      <c r="H12" s="196">
        <v>0.5</v>
      </c>
      <c r="I12" s="87">
        <f t="shared" si="2"/>
        <v>13378.752295000002</v>
      </c>
      <c r="J12" s="58">
        <v>0.1</v>
      </c>
      <c r="K12" s="59">
        <f>Orçamento!H79</f>
        <v>133787.52295000001</v>
      </c>
      <c r="L12" s="31">
        <f t="shared" si="1"/>
        <v>0.47486038824113896</v>
      </c>
    </row>
    <row r="13" spans="1:23" x14ac:dyDescent="0.2">
      <c r="A13" s="39">
        <v>5</v>
      </c>
      <c r="B13" s="236" t="str">
        <f>Orçamento!C81</f>
        <v>ILUMINAÇÃO</v>
      </c>
      <c r="C13" s="237"/>
      <c r="D13" s="237"/>
      <c r="E13" s="87">
        <f t="shared" si="0"/>
        <v>3687.7296547999995</v>
      </c>
      <c r="F13" s="58">
        <v>0.2</v>
      </c>
      <c r="G13" s="195">
        <f t="shared" si="2"/>
        <v>7375.459309599999</v>
      </c>
      <c r="H13" s="196">
        <v>0.4</v>
      </c>
      <c r="I13" s="87">
        <f t="shared" si="2"/>
        <v>7375.459309599999</v>
      </c>
      <c r="J13" s="58">
        <v>0.4</v>
      </c>
      <c r="K13" s="59">
        <f>Orçamento!H90</f>
        <v>18438.648273999996</v>
      </c>
      <c r="L13" s="31">
        <f t="shared" si="1"/>
        <v>6.5445442780981272E-2</v>
      </c>
    </row>
    <row r="14" spans="1:23" x14ac:dyDescent="0.2">
      <c r="A14" s="39">
        <v>6</v>
      </c>
      <c r="B14" s="236" t="str">
        <f>Orçamento!C92</f>
        <v xml:space="preserve">MOBILIÁRIO </v>
      </c>
      <c r="C14" s="237"/>
      <c r="D14" s="237"/>
      <c r="E14" s="87">
        <f t="shared" si="0"/>
        <v>0</v>
      </c>
      <c r="F14" s="58"/>
      <c r="G14" s="195">
        <f t="shared" si="2"/>
        <v>16425.950269999998</v>
      </c>
      <c r="H14" s="196">
        <v>0.2</v>
      </c>
      <c r="I14" s="87">
        <f t="shared" si="2"/>
        <v>65703.80107999999</v>
      </c>
      <c r="J14" s="58">
        <v>0.8</v>
      </c>
      <c r="K14" s="59">
        <f>Orçamento!H105</f>
        <v>82129.751349999991</v>
      </c>
      <c r="L14" s="31">
        <f t="shared" si="1"/>
        <v>0.29150824196651443</v>
      </c>
    </row>
    <row r="15" spans="1:23" x14ac:dyDescent="0.2">
      <c r="A15" s="39">
        <v>7</v>
      </c>
      <c r="B15" s="236" t="str">
        <f>Orçamento!C107</f>
        <v>PINTURA</v>
      </c>
      <c r="C15" s="237"/>
      <c r="D15" s="237"/>
      <c r="E15" s="87">
        <f t="shared" si="0"/>
        <v>0</v>
      </c>
      <c r="F15" s="58"/>
      <c r="G15" s="195">
        <f t="shared" si="2"/>
        <v>0</v>
      </c>
      <c r="H15" s="196"/>
      <c r="I15" s="87">
        <f t="shared" si="2"/>
        <v>1294.80142</v>
      </c>
      <c r="J15" s="58">
        <v>1</v>
      </c>
      <c r="K15" s="59">
        <f>Orçamento!H111</f>
        <v>1294.80142</v>
      </c>
      <c r="L15" s="31">
        <f t="shared" si="1"/>
        <v>4.5957193274754329E-3</v>
      </c>
    </row>
    <row r="16" spans="1:23" x14ac:dyDescent="0.2">
      <c r="A16" s="57">
        <v>8</v>
      </c>
      <c r="B16" s="238" t="str">
        <f>Orçamento!C113</f>
        <v>PAISAGISMO</v>
      </c>
      <c r="C16" s="239"/>
      <c r="D16" s="239"/>
      <c r="E16" s="87">
        <f t="shared" si="0"/>
        <v>0</v>
      </c>
      <c r="F16" s="58"/>
      <c r="G16" s="195">
        <f t="shared" si="2"/>
        <v>0</v>
      </c>
      <c r="H16" s="196"/>
      <c r="I16" s="87">
        <f t="shared" si="2"/>
        <v>2472.66</v>
      </c>
      <c r="J16" s="58">
        <v>1</v>
      </c>
      <c r="K16" s="59">
        <f>Orçamento!H118</f>
        <v>2472.66</v>
      </c>
      <c r="L16" s="31">
        <f t="shared" si="1"/>
        <v>8.7763661490851651E-3</v>
      </c>
    </row>
    <row r="17" spans="1:12" ht="12.75" customHeight="1" thickBot="1" x14ac:dyDescent="0.25">
      <c r="A17" s="39">
        <v>9</v>
      </c>
      <c r="B17" s="240" t="str">
        <f>Orçamento!C120</f>
        <v xml:space="preserve">SERVIÇOS FINAIS </v>
      </c>
      <c r="C17" s="241"/>
      <c r="D17" s="242"/>
      <c r="E17" s="87">
        <f t="shared" si="0"/>
        <v>0</v>
      </c>
      <c r="F17" s="58"/>
      <c r="G17" s="195">
        <f t="shared" si="2"/>
        <v>0</v>
      </c>
      <c r="H17" s="196"/>
      <c r="I17" s="87">
        <f t="shared" si="2"/>
        <v>569.96500000000003</v>
      </c>
      <c r="J17" s="58">
        <v>1</v>
      </c>
      <c r="K17" s="59">
        <f>Orçamento!H122</f>
        <v>569.96500000000003</v>
      </c>
      <c r="L17" s="31">
        <f t="shared" ref="L17" si="3">K17/$K$19</f>
        <v>2.0230122751058884E-3</v>
      </c>
    </row>
    <row r="18" spans="1:12" s="4" customFormat="1" ht="13.5" thickBot="1" x14ac:dyDescent="0.25">
      <c r="A18" s="249" t="s">
        <v>14</v>
      </c>
      <c r="B18" s="250"/>
      <c r="C18" s="250"/>
      <c r="D18" s="251"/>
      <c r="E18" s="59">
        <f>SUM(E9:E17)</f>
        <v>77312.284463790085</v>
      </c>
      <c r="F18" s="32">
        <f>E18/$K$19</f>
        <v>0.27440930668852581</v>
      </c>
      <c r="G18" s="59">
        <f>SUM(G9:G17)</f>
        <v>105987.07607359008</v>
      </c>
      <c r="H18" s="32">
        <f>G18/$K$19</f>
        <v>0.37618653057548157</v>
      </c>
      <c r="I18" s="59">
        <f>SUM(I9:I17)</f>
        <v>98441.391614095031</v>
      </c>
      <c r="J18" s="32">
        <f>I18/$K$19</f>
        <v>0.34940416273599273</v>
      </c>
      <c r="K18" s="60"/>
      <c r="L18" s="61">
        <f>SUM(L9:L17)</f>
        <v>1</v>
      </c>
    </row>
    <row r="19" spans="1:12" s="4" customFormat="1" ht="13.5" thickBot="1" x14ac:dyDescent="0.25">
      <c r="A19" s="252" t="s">
        <v>15</v>
      </c>
      <c r="B19" s="253"/>
      <c r="C19" s="253"/>
      <c r="D19" s="253"/>
      <c r="E19" s="89">
        <f>E18</f>
        <v>77312.284463790085</v>
      </c>
      <c r="F19" s="33">
        <f>F18</f>
        <v>0.27440930668852581</v>
      </c>
      <c r="G19" s="88">
        <f>G18+C19</f>
        <v>105987.07607359008</v>
      </c>
      <c r="H19" s="34">
        <f>F19+H18</f>
        <v>0.65059583726400738</v>
      </c>
      <c r="I19" s="88">
        <f>I18+E19</f>
        <v>175753.67607788512</v>
      </c>
      <c r="J19" s="34">
        <f>H19+J18</f>
        <v>1</v>
      </c>
      <c r="K19" s="62">
        <f>SUM(K9:K18)</f>
        <v>281740.75215147517</v>
      </c>
      <c r="L19" s="63"/>
    </row>
    <row r="20" spans="1:12" ht="30.75" customHeight="1" thickBot="1" x14ac:dyDescent="0.25">
      <c r="A20" s="243"/>
      <c r="B20" s="244"/>
      <c r="C20" s="244"/>
      <c r="D20" s="245"/>
      <c r="E20" s="246" t="s">
        <v>174</v>
      </c>
      <c r="F20" s="247"/>
      <c r="G20" s="247"/>
      <c r="H20" s="247"/>
      <c r="I20" s="247"/>
      <c r="J20" s="247"/>
      <c r="K20" s="247"/>
      <c r="L20" s="248"/>
    </row>
    <row r="21" spans="1:12" x14ac:dyDescent="0.2">
      <c r="A21" s="90"/>
      <c r="B21" s="90"/>
      <c r="C21" s="90"/>
      <c r="D21" s="90"/>
      <c r="E21" s="90"/>
      <c r="F21" s="90"/>
      <c r="G21" s="90"/>
      <c r="H21" s="90"/>
      <c r="I21" s="90"/>
      <c r="J21" s="90"/>
      <c r="K21" s="90"/>
      <c r="L21" s="90"/>
    </row>
  </sheetData>
  <mergeCells count="30">
    <mergeCell ref="K1:L1"/>
    <mergeCell ref="A1:J1"/>
    <mergeCell ref="N1:S1"/>
    <mergeCell ref="K4:L5"/>
    <mergeCell ref="A5:I5"/>
    <mergeCell ref="A2:J2"/>
    <mergeCell ref="A3:J3"/>
    <mergeCell ref="N2:S2"/>
    <mergeCell ref="A4:J4"/>
    <mergeCell ref="A6:A8"/>
    <mergeCell ref="B6:D8"/>
    <mergeCell ref="E6:J6"/>
    <mergeCell ref="K6:L7"/>
    <mergeCell ref="E7:F7"/>
    <mergeCell ref="I7:J7"/>
    <mergeCell ref="G7:H7"/>
    <mergeCell ref="A20:D20"/>
    <mergeCell ref="E20:J20"/>
    <mergeCell ref="K20:L20"/>
    <mergeCell ref="A18:D18"/>
    <mergeCell ref="A19:D19"/>
    <mergeCell ref="B14:D14"/>
    <mergeCell ref="B15:D15"/>
    <mergeCell ref="B16:D16"/>
    <mergeCell ref="B17:D17"/>
    <mergeCell ref="B9:D9"/>
    <mergeCell ref="B10:D10"/>
    <mergeCell ref="B11:D11"/>
    <mergeCell ref="B12:D12"/>
    <mergeCell ref="B13:D13"/>
  </mergeCells>
  <phoneticPr fontId="12" type="noConversion"/>
  <printOptions horizontalCentered="1"/>
  <pageMargins left="0.47244094488188981" right="0.35433070866141736" top="0.82677165354330717" bottom="0.43307086614173229" header="0.11811023622047245" footer="0.43307086614173229"/>
  <pageSetup paperSize="9" orientation="landscape" r:id="rId1"/>
  <headerFooter alignWithMargins="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Orçamento</vt:lpstr>
      <vt:lpstr>Cronograma</vt:lpstr>
      <vt:lpstr>Cronograma!Area_de_impressao</vt:lpstr>
      <vt:lpstr>Orçamento!Area_de_impressao</vt:lpstr>
      <vt:lpstr>Orçamento!Texto3</vt:lpstr>
      <vt:lpstr>Orçamento!Texto4</vt:lpstr>
    </vt:vector>
  </TitlesOfParts>
  <Company>Prefeirura Blumenau</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Prefeirura Blumenau</dc:creator>
  <cp:lastModifiedBy>Usuário do Windows</cp:lastModifiedBy>
  <cp:lastPrinted>2020-04-07T16:44:30Z</cp:lastPrinted>
  <dcterms:created xsi:type="dcterms:W3CDTF">2003-10-24T18:12:58Z</dcterms:created>
  <dcterms:modified xsi:type="dcterms:W3CDTF">2020-04-07T17:02:58Z</dcterms:modified>
</cp:coreProperties>
</file>