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KP Drive arquiteta@matilde.arq.br\ARQUITETURA\PROJETOS\2020\CONCLUIDOS\Iprecal\Executivo2\Orçamento\"/>
    </mc:Choice>
  </mc:AlternateContent>
  <xr:revisionPtr revIDLastSave="0" documentId="13_ncr:1_{350ABE12-5672-4B6A-B42B-3487860B90A5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Planilha orçamento" sheetId="1" r:id="rId1"/>
    <sheet name="Cronograma " sheetId="7" r:id="rId2"/>
    <sheet name="Cotação" sheetId="3" r:id="rId3"/>
    <sheet name="Composição" sheetId="6" r:id="rId4"/>
    <sheet name="Cálculo BDI" sheetId="4" r:id="rId5"/>
    <sheet name="Tabelas BDI" sheetId="5" r:id="rId6"/>
  </sheets>
  <externalReferences>
    <externalReference r:id="rId7"/>
  </externalReferences>
  <definedNames>
    <definedName name="_xlnm.Print_Area" localSheetId="4">'Cálculo BDI'!$A$1:$H$44</definedName>
    <definedName name="_xlnm.Print_Area" localSheetId="3">Composição!$A$1:$I$22</definedName>
    <definedName name="_xlnm.Print_Area" localSheetId="2">Cotação!$A$1:$E$497</definedName>
    <definedName name="_xlnm.Print_Area" localSheetId="1">'Cronograma '!$A$12:$J$104</definedName>
    <definedName name="_xlnm.Print_Area" localSheetId="0">'Planilha orçamento'!$A$2:$N$402</definedName>
    <definedName name="Tabela">[1]Tabelas!$B$8:$R$14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3" i="7" l="1"/>
  <c r="F68" i="7"/>
  <c r="G68" i="7"/>
  <c r="L310" i="1"/>
  <c r="L309" i="1"/>
  <c r="L300" i="1"/>
  <c r="K300" i="1"/>
  <c r="E14" i="3"/>
  <c r="J310" i="1" l="1"/>
  <c r="K310" i="1" s="1"/>
  <c r="J86" i="1"/>
  <c r="K86" i="1" s="1"/>
  <c r="G322" i="1"/>
  <c r="G308" i="1"/>
  <c r="E414" i="3"/>
  <c r="J374" i="1"/>
  <c r="K374" i="1" s="1"/>
  <c r="J354" i="1"/>
  <c r="K354" i="1" s="1"/>
  <c r="E259" i="3"/>
  <c r="J277" i="1"/>
  <c r="K277" i="1" s="1"/>
  <c r="J271" i="1"/>
  <c r="K271" i="1" s="1"/>
  <c r="J260" i="1"/>
  <c r="K260" i="1" s="1"/>
  <c r="J257" i="1"/>
  <c r="K257" i="1" s="1"/>
  <c r="J234" i="1"/>
  <c r="K234" i="1" s="1"/>
  <c r="J232" i="1"/>
  <c r="K232" i="1" s="1"/>
  <c r="I227" i="1" l="1"/>
  <c r="J227" i="1" s="1"/>
  <c r="K227" i="1" s="1"/>
  <c r="J224" i="1"/>
  <c r="K224" i="1" s="1"/>
  <c r="J223" i="1"/>
  <c r="K223" i="1" s="1"/>
  <c r="J219" i="1"/>
  <c r="K219" i="1" s="1"/>
  <c r="J218" i="1"/>
  <c r="K218" i="1" s="1"/>
  <c r="J180" i="1"/>
  <c r="K180" i="1" s="1"/>
  <c r="E19" i="3"/>
  <c r="J137" i="1"/>
  <c r="K137" i="1" s="1"/>
  <c r="J144" i="1"/>
  <c r="K144" i="1" s="1"/>
  <c r="J138" i="1"/>
  <c r="K138" i="1" s="1"/>
  <c r="J139" i="1"/>
  <c r="K139" i="1" s="1"/>
  <c r="I16" i="1"/>
  <c r="E11" i="3"/>
  <c r="J26" i="1"/>
  <c r="K26" i="1" s="1"/>
  <c r="J25" i="1"/>
  <c r="K25" i="1" s="1"/>
  <c r="J24" i="1"/>
  <c r="K24" i="1" s="1"/>
  <c r="J23" i="1"/>
  <c r="K23" i="1" s="1"/>
  <c r="J22" i="1"/>
  <c r="K22" i="1" s="1"/>
  <c r="K21" i="1" l="1"/>
  <c r="L22" i="1" s="1"/>
  <c r="L26" i="1" l="1"/>
  <c r="L25" i="1"/>
  <c r="L23" i="1"/>
  <c r="L24" i="1"/>
  <c r="L21" i="1" l="1"/>
  <c r="E233" i="3" l="1"/>
  <c r="I294" i="1" s="1"/>
  <c r="J293" i="1"/>
  <c r="K293" i="1" s="1"/>
  <c r="E228" i="3"/>
  <c r="E223" i="3"/>
  <c r="I292" i="1" s="1"/>
  <c r="J292" i="1" s="1"/>
  <c r="K292" i="1" s="1"/>
  <c r="E216" i="3"/>
  <c r="I291" i="1" s="1"/>
  <c r="J291" i="1" s="1"/>
  <c r="K291" i="1" s="1"/>
  <c r="E209" i="3"/>
  <c r="I290" i="1" s="1"/>
  <c r="J290" i="1" s="1"/>
  <c r="K290" i="1" s="1"/>
  <c r="J289" i="1"/>
  <c r="K289" i="1" s="1"/>
  <c r="E149" i="3"/>
  <c r="I243" i="1" s="1"/>
  <c r="J243" i="1" s="1"/>
  <c r="K243" i="1" s="1"/>
  <c r="J240" i="1"/>
  <c r="K240" i="1" s="1"/>
  <c r="J242" i="1"/>
  <c r="K242" i="1" s="1"/>
  <c r="J241" i="1"/>
  <c r="K241" i="1" s="1"/>
  <c r="J261" i="1"/>
  <c r="K261" i="1" s="1"/>
  <c r="E445" i="3"/>
  <c r="E438" i="3"/>
  <c r="E431" i="3"/>
  <c r="E367" i="3"/>
  <c r="E361" i="3"/>
  <c r="I345" i="1" s="1"/>
  <c r="E354" i="3"/>
  <c r="E267" i="3"/>
  <c r="E203" i="3"/>
  <c r="I286" i="1" s="1"/>
  <c r="E197" i="3"/>
  <c r="I285" i="1" s="1"/>
  <c r="J285" i="1" s="1"/>
  <c r="K285" i="1" s="1"/>
  <c r="E71" i="3"/>
  <c r="I177" i="1" s="1"/>
  <c r="E155" i="3"/>
  <c r="I265" i="1" s="1"/>
  <c r="E179" i="3"/>
  <c r="E117" i="3"/>
  <c r="E103" i="3"/>
  <c r="I199" i="1" s="1"/>
  <c r="E78" i="3"/>
  <c r="I193" i="1" s="1"/>
  <c r="E470" i="3"/>
  <c r="E464" i="3"/>
  <c r="E294" i="3"/>
  <c r="I318" i="1" s="1"/>
  <c r="E287" i="3"/>
  <c r="E275" i="3"/>
  <c r="E247" i="3"/>
  <c r="I305" i="1" s="1"/>
  <c r="E301" i="3"/>
  <c r="I319" i="1" s="1"/>
  <c r="E240" i="3"/>
  <c r="I304" i="1" s="1"/>
  <c r="E491" i="3"/>
  <c r="G12" i="6" s="1"/>
  <c r="E63" i="3"/>
  <c r="I161" i="1" s="1"/>
  <c r="E55" i="3"/>
  <c r="I158" i="1" s="1"/>
  <c r="E37" i="3"/>
  <c r="I141" i="1" s="1"/>
  <c r="E407" i="3"/>
  <c r="E401" i="3"/>
  <c r="J308" i="1"/>
  <c r="K308" i="1" s="1"/>
  <c r="I306" i="1"/>
  <c r="H20" i="6"/>
  <c r="H19" i="6"/>
  <c r="H18" i="6"/>
  <c r="H17" i="6"/>
  <c r="J273" i="1"/>
  <c r="K273" i="1" s="1"/>
  <c r="E161" i="3"/>
  <c r="I266" i="1" s="1"/>
  <c r="J117" i="1"/>
  <c r="K117" i="1" s="1"/>
  <c r="J347" i="1"/>
  <c r="K347" i="1" s="1"/>
  <c r="E111" i="3"/>
  <c r="I200" i="1" s="1"/>
  <c r="E86" i="3"/>
  <c r="I194" i="1" s="1"/>
  <c r="J194" i="1" s="1"/>
  <c r="K194" i="1" s="1"/>
  <c r="I387" i="1"/>
  <c r="J329" i="1"/>
  <c r="K329" i="1" s="1"/>
  <c r="K328" i="1" s="1"/>
  <c r="J284" i="1"/>
  <c r="K284" i="1" s="1"/>
  <c r="J280" i="1"/>
  <c r="K280" i="1" s="1"/>
  <c r="J279" i="1"/>
  <c r="K279" i="1" s="1"/>
  <c r="J251" i="1"/>
  <c r="K251" i="1" s="1"/>
  <c r="J250" i="1"/>
  <c r="K250" i="1" s="1"/>
  <c r="J249" i="1"/>
  <c r="K249" i="1" s="1"/>
  <c r="J248" i="1"/>
  <c r="K248" i="1" s="1"/>
  <c r="J247" i="1"/>
  <c r="K247" i="1" s="1"/>
  <c r="J246" i="1"/>
  <c r="K246" i="1" s="1"/>
  <c r="J245" i="1"/>
  <c r="K245" i="1" s="1"/>
  <c r="J239" i="1"/>
  <c r="K239" i="1" s="1"/>
  <c r="J238" i="1"/>
  <c r="K238" i="1" s="1"/>
  <c r="J244" i="1"/>
  <c r="K244" i="1" s="1"/>
  <c r="E135" i="3"/>
  <c r="J294" i="1" l="1"/>
  <c r="K294" i="1" s="1"/>
  <c r="K288" i="1" s="1"/>
  <c r="G16" i="6"/>
  <c r="I322" i="1" s="1"/>
  <c r="J322" i="1" s="1"/>
  <c r="K322" i="1" s="1"/>
  <c r="L289" i="1" l="1"/>
  <c r="L293" i="1"/>
  <c r="L294" i="1"/>
  <c r="L292" i="1"/>
  <c r="L290" i="1"/>
  <c r="L291" i="1"/>
  <c r="L329" i="1"/>
  <c r="L288" i="1" l="1"/>
  <c r="L328" i="1"/>
  <c r="E125" i="3" l="1"/>
  <c r="I213" i="1" s="1"/>
  <c r="J214" i="1"/>
  <c r="K214" i="1" s="1"/>
  <c r="I309" i="1"/>
  <c r="I344" i="1"/>
  <c r="I346" i="1"/>
  <c r="I211" i="1"/>
  <c r="J211" i="1" s="1"/>
  <c r="K211" i="1" s="1"/>
  <c r="J45" i="1" l="1"/>
  <c r="K45" i="1" s="1"/>
  <c r="J39" i="1"/>
  <c r="K39" i="1" s="1"/>
  <c r="J38" i="1"/>
  <c r="K38" i="1" s="1"/>
  <c r="J43" i="1" l="1"/>
  <c r="K43" i="1" s="1"/>
  <c r="J33" i="1" l="1"/>
  <c r="K33" i="1" s="1"/>
  <c r="J54" i="1"/>
  <c r="K54" i="1" s="1"/>
  <c r="J35" i="1"/>
  <c r="K35" i="1" s="1"/>
  <c r="J37" i="1"/>
  <c r="K37" i="1" s="1"/>
  <c r="J58" i="1"/>
  <c r="K58" i="1" s="1"/>
  <c r="J51" i="1"/>
  <c r="K51" i="1" s="1"/>
  <c r="J50" i="1"/>
  <c r="K50" i="1" s="1"/>
  <c r="J57" i="1"/>
  <c r="K57" i="1" s="1"/>
  <c r="J56" i="1"/>
  <c r="K56" i="1" s="1"/>
  <c r="J47" i="1"/>
  <c r="K47" i="1" s="1"/>
  <c r="J104" i="1"/>
  <c r="K104" i="1" s="1"/>
  <c r="J81" i="1"/>
  <c r="K81" i="1" s="1"/>
  <c r="J76" i="1"/>
  <c r="K76" i="1" s="1"/>
  <c r="J55" i="1"/>
  <c r="K55" i="1" s="1"/>
  <c r="J53" i="1"/>
  <c r="K53" i="1" s="1"/>
  <c r="J52" i="1"/>
  <c r="K52" i="1" s="1"/>
  <c r="J18" i="1"/>
  <c r="K18" i="1" s="1"/>
  <c r="J17" i="1"/>
  <c r="K17" i="1" s="1"/>
  <c r="J80" i="1"/>
  <c r="K80" i="1" s="1"/>
  <c r="J72" i="1"/>
  <c r="K72" i="1" s="1"/>
  <c r="J73" i="1"/>
  <c r="K73" i="1" s="1"/>
  <c r="J74" i="1"/>
  <c r="K74" i="1" s="1"/>
  <c r="J79" i="1"/>
  <c r="K79" i="1" s="1"/>
  <c r="J66" i="1"/>
  <c r="K66" i="1" s="1"/>
  <c r="J85" i="1"/>
  <c r="K85" i="1" s="1"/>
  <c r="J94" i="1"/>
  <c r="K94" i="1" s="1"/>
  <c r="J93" i="1"/>
  <c r="K93" i="1" s="1"/>
  <c r="J91" i="1"/>
  <c r="K91" i="1" s="1"/>
  <c r="J92" i="1"/>
  <c r="J90" i="1"/>
  <c r="K49" i="1" l="1"/>
  <c r="L54" i="1" s="1"/>
  <c r="K78" i="1"/>
  <c r="K90" i="1"/>
  <c r="K92" i="1"/>
  <c r="H12" i="6"/>
  <c r="H14" i="6"/>
  <c r="H13" i="6"/>
  <c r="H11" i="6"/>
  <c r="J13" i="1"/>
  <c r="K13" i="1" s="1"/>
  <c r="L53" i="1" l="1"/>
  <c r="L51" i="1"/>
  <c r="L50" i="1"/>
  <c r="L52" i="1"/>
  <c r="G10" i="6"/>
  <c r="I15" i="1" s="1"/>
  <c r="J15" i="1" s="1"/>
  <c r="K15" i="1" s="1"/>
  <c r="L80" i="1"/>
  <c r="L79" i="1"/>
  <c r="L56" i="1"/>
  <c r="L57" i="1"/>
  <c r="L58" i="1"/>
  <c r="L55" i="1"/>
  <c r="L81" i="1"/>
  <c r="L78" i="1" l="1"/>
  <c r="L49" i="1"/>
  <c r="I13" i="4"/>
  <c r="I15" i="4"/>
  <c r="J15" i="4" s="1"/>
  <c r="F31" i="4" l="1"/>
  <c r="F30" i="4"/>
  <c r="D32" i="4"/>
  <c r="F32" i="4" s="1"/>
  <c r="G29" i="4" l="1"/>
  <c r="G34" i="4" s="1"/>
  <c r="E321" i="3"/>
  <c r="E319" i="3" s="1"/>
  <c r="E322" i="3"/>
  <c r="E315" i="3"/>
  <c r="E313" i="3" s="1"/>
  <c r="E316" i="3"/>
  <c r="E343" i="3"/>
  <c r="E344" i="3"/>
  <c r="E341" i="3" s="1"/>
  <c r="I336" i="1" l="1"/>
  <c r="I337" i="1"/>
  <c r="J337" i="1" s="1"/>
  <c r="K337" i="1" s="1"/>
  <c r="I340" i="1"/>
  <c r="E192" i="3"/>
  <c r="I272" i="1" s="1"/>
  <c r="I307" i="1"/>
  <c r="J344" i="1"/>
  <c r="K344" i="1" s="1"/>
  <c r="J345" i="1"/>
  <c r="K345" i="1" s="1"/>
  <c r="J346" i="1"/>
  <c r="K346" i="1" s="1"/>
  <c r="E347" i="3" l="1"/>
  <c r="I343" i="1" s="1"/>
  <c r="E130" i="3"/>
  <c r="I225" i="1" s="1"/>
  <c r="J225" i="1" s="1"/>
  <c r="K225" i="1" s="1"/>
  <c r="E335" i="3" l="1"/>
  <c r="E325" i="3"/>
  <c r="J338" i="1" s="1"/>
  <c r="K338" i="1" s="1"/>
  <c r="J309" i="1" l="1"/>
  <c r="K309" i="1" s="1"/>
  <c r="E395" i="3"/>
  <c r="I353" i="1" s="1"/>
  <c r="E389" i="3"/>
  <c r="I352" i="1" s="1"/>
  <c r="E383" i="3"/>
  <c r="I351" i="1" s="1"/>
  <c r="E374" i="3"/>
  <c r="I350" i="1" s="1"/>
  <c r="E421" i="3"/>
  <c r="J286" i="1" l="1"/>
  <c r="K286" i="1" s="1"/>
  <c r="E485" i="3"/>
  <c r="I393" i="1" s="1"/>
  <c r="E458" i="3"/>
  <c r="I385" i="1" s="1"/>
  <c r="E479" i="3"/>
  <c r="E452" i="3"/>
  <c r="I380" i="1" s="1"/>
  <c r="J380" i="1" s="1"/>
  <c r="J230" i="1"/>
  <c r="K230" i="1" s="1"/>
  <c r="J231" i="1"/>
  <c r="K231" i="1" s="1"/>
  <c r="J233" i="1"/>
  <c r="K233" i="1" s="1"/>
  <c r="J237" i="1"/>
  <c r="K237" i="1" s="1"/>
  <c r="K236" i="1" s="1"/>
  <c r="J217" i="1"/>
  <c r="K217" i="1" s="1"/>
  <c r="J221" i="1"/>
  <c r="K221" i="1" s="1"/>
  <c r="J222" i="1"/>
  <c r="K222" i="1" s="1"/>
  <c r="J220" i="1"/>
  <c r="K220" i="1" s="1"/>
  <c r="J226" i="1"/>
  <c r="K226" i="1" s="1"/>
  <c r="K229" i="1" l="1"/>
  <c r="K283" i="1"/>
  <c r="K216" i="1"/>
  <c r="J133" i="1"/>
  <c r="K133" i="1" s="1"/>
  <c r="L224" i="1" l="1"/>
  <c r="L225" i="1"/>
  <c r="L223" i="1"/>
  <c r="L231" i="1"/>
  <c r="L234" i="1"/>
  <c r="L232" i="1"/>
  <c r="L222" i="1"/>
  <c r="L227" i="1"/>
  <c r="L218" i="1"/>
  <c r="L219" i="1"/>
  <c r="L284" i="1"/>
  <c r="L242" i="1"/>
  <c r="L240" i="1"/>
  <c r="L241" i="1"/>
  <c r="L239" i="1"/>
  <c r="L243" i="1"/>
  <c r="L285" i="1"/>
  <c r="L233" i="1"/>
  <c r="L247" i="1"/>
  <c r="L249" i="1"/>
  <c r="L250" i="1"/>
  <c r="L251" i="1"/>
  <c r="L248" i="1"/>
  <c r="L246" i="1"/>
  <c r="L245" i="1"/>
  <c r="L237" i="1"/>
  <c r="L244" i="1"/>
  <c r="L238" i="1"/>
  <c r="L217" i="1"/>
  <c r="L221" i="1"/>
  <c r="L220" i="1"/>
  <c r="L230" i="1"/>
  <c r="L226" i="1"/>
  <c r="J367" i="1"/>
  <c r="K367" i="1" s="1"/>
  <c r="J203" i="1"/>
  <c r="K203" i="1" s="1"/>
  <c r="J202" i="1"/>
  <c r="K202" i="1" s="1"/>
  <c r="L236" i="1" l="1"/>
  <c r="L229" i="1"/>
  <c r="L216" i="1"/>
  <c r="J188" i="1"/>
  <c r="K188" i="1" s="1"/>
  <c r="E49" i="3" l="1"/>
  <c r="I157" i="1" s="1"/>
  <c r="E185" i="3"/>
  <c r="I270" i="1" s="1"/>
  <c r="I269" i="1"/>
  <c r="E173" i="3"/>
  <c r="I268" i="1" s="1"/>
  <c r="E167" i="3"/>
  <c r="I267" i="1" s="1"/>
  <c r="E97" i="3"/>
  <c r="I198" i="1" s="1"/>
  <c r="J198" i="1" s="1"/>
  <c r="K198" i="1" s="1"/>
  <c r="I386" i="1"/>
  <c r="I317" i="1"/>
  <c r="I316" i="1"/>
  <c r="J177" i="1" l="1"/>
  <c r="K177" i="1" s="1"/>
  <c r="K176" i="1" l="1"/>
  <c r="L177" i="1" s="1"/>
  <c r="L176" i="1" s="1"/>
  <c r="J99" i="1"/>
  <c r="K99" i="1" l="1"/>
  <c r="J305" i="1" l="1"/>
  <c r="K305" i="1" s="1"/>
  <c r="J318" i="1" l="1"/>
  <c r="K318" i="1" s="1"/>
  <c r="J319" i="1"/>
  <c r="K319" i="1" s="1"/>
  <c r="J320" i="1"/>
  <c r="K320" i="1" s="1"/>
  <c r="J321" i="1"/>
  <c r="K321" i="1" s="1"/>
  <c r="J68" i="1" l="1"/>
  <c r="K68" i="1" s="1"/>
  <c r="J361" i="1"/>
  <c r="K361" i="1" s="1"/>
  <c r="J362" i="1"/>
  <c r="K362" i="1" s="1"/>
  <c r="J365" i="1"/>
  <c r="K365" i="1" s="1"/>
  <c r="J366" i="1"/>
  <c r="K366" i="1" s="1"/>
  <c r="J44" i="1"/>
  <c r="K44" i="1" s="1"/>
  <c r="J393" i="1"/>
  <c r="J394" i="1"/>
  <c r="K394" i="1" s="1"/>
  <c r="K360" i="1" l="1"/>
  <c r="G80" i="7" s="1"/>
  <c r="K380" i="1"/>
  <c r="K393" i="1"/>
  <c r="J265" i="1"/>
  <c r="K265" i="1" s="1"/>
  <c r="J266" i="1"/>
  <c r="K266" i="1" s="1"/>
  <c r="J267" i="1"/>
  <c r="K267" i="1" s="1"/>
  <c r="J268" i="1"/>
  <c r="K268" i="1" s="1"/>
  <c r="J272" i="1"/>
  <c r="K272" i="1" s="1"/>
  <c r="J269" i="1"/>
  <c r="K269" i="1" s="1"/>
  <c r="J270" i="1"/>
  <c r="K270" i="1" s="1"/>
  <c r="J196" i="1"/>
  <c r="K196" i="1" s="1"/>
  <c r="J197" i="1"/>
  <c r="K197" i="1" s="1"/>
  <c r="J199" i="1"/>
  <c r="K199" i="1" s="1"/>
  <c r="J200" i="1"/>
  <c r="K200" i="1" s="1"/>
  <c r="J201" i="1"/>
  <c r="K201" i="1" s="1"/>
  <c r="J204" i="1"/>
  <c r="K204" i="1" s="1"/>
  <c r="J195" i="1"/>
  <c r="K195" i="1" s="1"/>
  <c r="J193" i="1"/>
  <c r="K193" i="1" s="1"/>
  <c r="H93" i="7" l="1"/>
  <c r="K192" i="1"/>
  <c r="H43" i="7" s="1"/>
  <c r="L362" i="1"/>
  <c r="L361" i="1"/>
  <c r="J40" i="1"/>
  <c r="K40" i="1" s="1"/>
  <c r="L195" i="1" l="1"/>
  <c r="L194" i="1"/>
  <c r="L360" i="1"/>
  <c r="L196" i="1"/>
  <c r="L197" i="1"/>
  <c r="L199" i="1"/>
  <c r="L202" i="1"/>
  <c r="L198" i="1"/>
  <c r="L203" i="1"/>
  <c r="L201" i="1"/>
  <c r="L193" i="1"/>
  <c r="L200" i="1"/>
  <c r="L204" i="1"/>
  <c r="J373" i="1"/>
  <c r="K373" i="1" s="1"/>
  <c r="L192" i="1" l="1"/>
  <c r="J140" i="1" l="1"/>
  <c r="K140" i="1" s="1"/>
  <c r="J141" i="1"/>
  <c r="K141" i="1" s="1"/>
  <c r="J142" i="1"/>
  <c r="K142" i="1" s="1"/>
  <c r="J143" i="1"/>
  <c r="K143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61" i="1"/>
  <c r="K161" i="1" s="1"/>
  <c r="K160" i="1" s="1"/>
  <c r="F43" i="7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4" i="1"/>
  <c r="K174" i="1" s="1"/>
  <c r="J181" i="1"/>
  <c r="K181" i="1" s="1"/>
  <c r="J182" i="1"/>
  <c r="K182" i="1" s="1"/>
  <c r="J183" i="1"/>
  <c r="K183" i="1" s="1"/>
  <c r="J186" i="1"/>
  <c r="K186" i="1" s="1"/>
  <c r="J187" i="1"/>
  <c r="K187" i="1" s="1"/>
  <c r="J189" i="1"/>
  <c r="K189" i="1" s="1"/>
  <c r="J190" i="1"/>
  <c r="K19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20" i="1"/>
  <c r="K120" i="1" s="1"/>
  <c r="K179" i="1" l="1"/>
  <c r="L180" i="1" s="1"/>
  <c r="L182" i="1"/>
  <c r="L161" i="1"/>
  <c r="L160" i="1" s="1"/>
  <c r="K173" i="1"/>
  <c r="L174" i="1" s="1"/>
  <c r="L173" i="1" s="1"/>
  <c r="K185" i="1"/>
  <c r="L187" i="1" s="1"/>
  <c r="K163" i="1"/>
  <c r="L165" i="1" s="1"/>
  <c r="K136" i="1"/>
  <c r="J116" i="1"/>
  <c r="K116" i="1" s="1"/>
  <c r="J392" i="1"/>
  <c r="K392" i="1" s="1"/>
  <c r="J387" i="1"/>
  <c r="K387" i="1" s="1"/>
  <c r="J386" i="1"/>
  <c r="K386" i="1" s="1"/>
  <c r="J385" i="1"/>
  <c r="K385" i="1" s="1"/>
  <c r="J379" i="1"/>
  <c r="K379" i="1" s="1"/>
  <c r="K378" i="1" s="1"/>
  <c r="J326" i="1"/>
  <c r="K326" i="1" s="1"/>
  <c r="J325" i="1"/>
  <c r="K325" i="1" s="1"/>
  <c r="J307" i="1"/>
  <c r="K307" i="1" s="1"/>
  <c r="J306" i="1"/>
  <c r="K306" i="1" s="1"/>
  <c r="J368" i="1"/>
  <c r="K368" i="1" s="1"/>
  <c r="J317" i="1"/>
  <c r="J316" i="1"/>
  <c r="J313" i="1"/>
  <c r="K313" i="1" s="1"/>
  <c r="K312" i="1" s="1"/>
  <c r="J304" i="1"/>
  <c r="J303" i="1"/>
  <c r="J302" i="1"/>
  <c r="J301" i="1"/>
  <c r="J281" i="1"/>
  <c r="K281" i="1" s="1"/>
  <c r="J278" i="1"/>
  <c r="K278" i="1" s="1"/>
  <c r="J276" i="1"/>
  <c r="K276" i="1" s="1"/>
  <c r="J259" i="1"/>
  <c r="K259" i="1" s="1"/>
  <c r="J258" i="1"/>
  <c r="K258" i="1" s="1"/>
  <c r="J256" i="1"/>
  <c r="K256" i="1" s="1"/>
  <c r="J255" i="1"/>
  <c r="K255" i="1" s="1"/>
  <c r="J254" i="1"/>
  <c r="K254" i="1" s="1"/>
  <c r="J213" i="1"/>
  <c r="K213" i="1" s="1"/>
  <c r="J212" i="1"/>
  <c r="K212" i="1" s="1"/>
  <c r="J340" i="1"/>
  <c r="K340" i="1" s="1"/>
  <c r="J336" i="1"/>
  <c r="K336" i="1" s="1"/>
  <c r="J134" i="1"/>
  <c r="K134" i="1" s="1"/>
  <c r="J132" i="1"/>
  <c r="K132" i="1" s="1"/>
  <c r="J115" i="1"/>
  <c r="K115" i="1" s="1"/>
  <c r="J114" i="1"/>
  <c r="K114" i="1" s="1"/>
  <c r="J107" i="1"/>
  <c r="K107" i="1" s="1"/>
  <c r="J106" i="1"/>
  <c r="K106" i="1" s="1"/>
  <c r="J105" i="1"/>
  <c r="K105" i="1" s="1"/>
  <c r="L142" i="1" l="1"/>
  <c r="G93" i="7"/>
  <c r="K391" i="1"/>
  <c r="K384" i="1"/>
  <c r="L181" i="1"/>
  <c r="L183" i="1"/>
  <c r="K324" i="1"/>
  <c r="L140" i="1"/>
  <c r="L141" i="1"/>
  <c r="L137" i="1"/>
  <c r="L144" i="1"/>
  <c r="L139" i="1"/>
  <c r="L138" i="1"/>
  <c r="L143" i="1"/>
  <c r="L145" i="1"/>
  <c r="K103" i="1"/>
  <c r="L107" i="1" s="1"/>
  <c r="K275" i="1"/>
  <c r="K113" i="1"/>
  <c r="D43" i="7" s="1"/>
  <c r="I93" i="7"/>
  <c r="L155" i="1"/>
  <c r="K253" i="1"/>
  <c r="L259" i="1" s="1"/>
  <c r="K210" i="1"/>
  <c r="K364" i="1"/>
  <c r="K372" i="1"/>
  <c r="L313" i="1"/>
  <c r="L151" i="1"/>
  <c r="L154" i="1"/>
  <c r="L158" i="1"/>
  <c r="L147" i="1"/>
  <c r="L148" i="1"/>
  <c r="L150" i="1"/>
  <c r="L152" i="1"/>
  <c r="L146" i="1"/>
  <c r="L153" i="1"/>
  <c r="L156" i="1"/>
  <c r="L149" i="1"/>
  <c r="L157" i="1"/>
  <c r="L169" i="1"/>
  <c r="L167" i="1"/>
  <c r="L168" i="1"/>
  <c r="L164" i="1"/>
  <c r="L186" i="1"/>
  <c r="L170" i="1"/>
  <c r="L166" i="1"/>
  <c r="L188" i="1"/>
  <c r="L189" i="1"/>
  <c r="L190" i="1"/>
  <c r="L171" i="1"/>
  <c r="K119" i="1"/>
  <c r="K303" i="1"/>
  <c r="K317" i="1"/>
  <c r="K316" i="1"/>
  <c r="K302" i="1"/>
  <c r="K304" i="1"/>
  <c r="K301" i="1"/>
  <c r="L179" i="1" l="1"/>
  <c r="H84" i="7"/>
  <c r="I84" i="7" s="1"/>
  <c r="L374" i="1"/>
  <c r="L277" i="1"/>
  <c r="L280" i="1"/>
  <c r="L279" i="1"/>
  <c r="L261" i="1"/>
  <c r="L257" i="1"/>
  <c r="L260" i="1"/>
  <c r="L254" i="1"/>
  <c r="L281" i="1"/>
  <c r="L256" i="1"/>
  <c r="L255" i="1"/>
  <c r="L258" i="1"/>
  <c r="L276" i="1"/>
  <c r="K315" i="1"/>
  <c r="L322" i="1" s="1"/>
  <c r="L379" i="1"/>
  <c r="H87" i="7"/>
  <c r="I87" i="7" s="1"/>
  <c r="L392" i="1"/>
  <c r="H94" i="7"/>
  <c r="L214" i="1"/>
  <c r="F55" i="7"/>
  <c r="L326" i="1"/>
  <c r="L117" i="1"/>
  <c r="I43" i="7"/>
  <c r="L368" i="1"/>
  <c r="H80" i="7"/>
  <c r="I80" i="7" s="1"/>
  <c r="G94" i="7"/>
  <c r="L115" i="1"/>
  <c r="L211" i="1"/>
  <c r="L114" i="1"/>
  <c r="L116" i="1"/>
  <c r="L386" i="1"/>
  <c r="L387" i="1"/>
  <c r="L278" i="1"/>
  <c r="L212" i="1"/>
  <c r="L385" i="1"/>
  <c r="K376" i="1"/>
  <c r="M372" i="1" s="1"/>
  <c r="M376" i="1" s="1"/>
  <c r="L373" i="1"/>
  <c r="K396" i="1"/>
  <c r="L394" i="1"/>
  <c r="L393" i="1"/>
  <c r="K370" i="1"/>
  <c r="M360" i="1" s="1"/>
  <c r="L367" i="1"/>
  <c r="L366" i="1"/>
  <c r="L365" i="1"/>
  <c r="K389" i="1"/>
  <c r="K382" i="1"/>
  <c r="M378" i="1" s="1"/>
  <c r="M382" i="1" s="1"/>
  <c r="L380" i="1"/>
  <c r="L325" i="1"/>
  <c r="L312" i="1"/>
  <c r="L136" i="1"/>
  <c r="L286" i="1"/>
  <c r="L163" i="1"/>
  <c r="L134" i="1"/>
  <c r="L132" i="1"/>
  <c r="K109" i="1"/>
  <c r="L104" i="1"/>
  <c r="L213" i="1"/>
  <c r="L105" i="1"/>
  <c r="L133" i="1"/>
  <c r="L126" i="1"/>
  <c r="L125" i="1"/>
  <c r="L123" i="1"/>
  <c r="L129" i="1"/>
  <c r="L128" i="1"/>
  <c r="L120" i="1"/>
  <c r="L127" i="1"/>
  <c r="L131" i="1"/>
  <c r="L122" i="1"/>
  <c r="L121" i="1"/>
  <c r="L124" i="1"/>
  <c r="L130" i="1"/>
  <c r="L106" i="1"/>
  <c r="K206" i="1"/>
  <c r="L185" i="1"/>
  <c r="L304" i="1" l="1"/>
  <c r="H68" i="7"/>
  <c r="M391" i="1"/>
  <c r="M396" i="1" s="1"/>
  <c r="L307" i="1"/>
  <c r="L324" i="1"/>
  <c r="L308" i="1"/>
  <c r="J43" i="7"/>
  <c r="L378" i="1"/>
  <c r="M384" i="1"/>
  <c r="M389" i="1" s="1"/>
  <c r="H90" i="7"/>
  <c r="M103" i="1"/>
  <c r="G40" i="7"/>
  <c r="I40" i="7" s="1"/>
  <c r="J40" i="7" s="1"/>
  <c r="J84" i="7"/>
  <c r="J93" i="7"/>
  <c r="J87" i="7"/>
  <c r="J80" i="7"/>
  <c r="L253" i="1"/>
  <c r="L113" i="1"/>
  <c r="L275" i="1"/>
  <c r="L283" i="1"/>
  <c r="L372" i="1"/>
  <c r="L210" i="1"/>
  <c r="L384" i="1"/>
  <c r="L391" i="1"/>
  <c r="L364" i="1"/>
  <c r="M364" i="1"/>
  <c r="M370" i="1" s="1"/>
  <c r="L319" i="1"/>
  <c r="L320" i="1"/>
  <c r="L318" i="1"/>
  <c r="L321" i="1"/>
  <c r="L316" i="1"/>
  <c r="L317" i="1"/>
  <c r="L303" i="1"/>
  <c r="L305" i="1"/>
  <c r="L306" i="1"/>
  <c r="L302" i="1"/>
  <c r="L301" i="1"/>
  <c r="M176" i="1"/>
  <c r="M192" i="1"/>
  <c r="M160" i="1"/>
  <c r="M179" i="1"/>
  <c r="M163" i="1"/>
  <c r="M136" i="1"/>
  <c r="M173" i="1"/>
  <c r="M185" i="1"/>
  <c r="M109" i="1"/>
  <c r="M119" i="1"/>
  <c r="L103" i="1"/>
  <c r="L119" i="1"/>
  <c r="M113" i="1"/>
  <c r="J19" i="1"/>
  <c r="K19" i="1" s="1"/>
  <c r="I68" i="7" l="1"/>
  <c r="I90" i="7"/>
  <c r="J90" i="7" s="1"/>
  <c r="L315" i="1"/>
  <c r="M206" i="1"/>
  <c r="J352" i="1"/>
  <c r="K352" i="1" l="1"/>
  <c r="J353" i="1"/>
  <c r="K353" i="1" s="1"/>
  <c r="J84" i="1" l="1"/>
  <c r="K84" i="1" s="1"/>
  <c r="K83" i="1" s="1"/>
  <c r="L86" i="1" s="1"/>
  <c r="J89" i="1"/>
  <c r="K89" i="1" s="1"/>
  <c r="J75" i="1"/>
  <c r="K75" i="1" s="1"/>
  <c r="J67" i="1"/>
  <c r="K67" i="1" s="1"/>
  <c r="K88" i="1" l="1"/>
  <c r="F30" i="7" s="1"/>
  <c r="J264" i="1"/>
  <c r="K264" i="1" s="1"/>
  <c r="J351" i="1"/>
  <c r="K351" i="1" s="1"/>
  <c r="J350" i="1"/>
  <c r="K350" i="1" s="1"/>
  <c r="J343" i="1"/>
  <c r="K343" i="1" s="1"/>
  <c r="J339" i="1"/>
  <c r="K339" i="1" s="1"/>
  <c r="K335" i="1" s="1"/>
  <c r="J69" i="1"/>
  <c r="K69" i="1" s="1"/>
  <c r="J65" i="1"/>
  <c r="K65" i="1" s="1"/>
  <c r="J46" i="1"/>
  <c r="K46" i="1" s="1"/>
  <c r="K42" i="1" s="1"/>
  <c r="J36" i="1"/>
  <c r="K36" i="1" s="1"/>
  <c r="J34" i="1"/>
  <c r="K34" i="1" s="1"/>
  <c r="K32" i="1" s="1"/>
  <c r="J16" i="1"/>
  <c r="K16" i="1" s="1"/>
  <c r="J14" i="1"/>
  <c r="K14" i="1" s="1"/>
  <c r="K349" i="1" l="1"/>
  <c r="K12" i="1"/>
  <c r="L19" i="1" s="1"/>
  <c r="L36" i="1"/>
  <c r="K342" i="1"/>
  <c r="L46" i="1"/>
  <c r="L45" i="1"/>
  <c r="L43" i="1"/>
  <c r="L44" i="1"/>
  <c r="K98" i="1"/>
  <c r="K263" i="1"/>
  <c r="L264" i="1" s="1"/>
  <c r="K64" i="1"/>
  <c r="K71" i="1"/>
  <c r="L94" i="1"/>
  <c r="L91" i="1"/>
  <c r="L93" i="1"/>
  <c r="L92" i="1"/>
  <c r="L90" i="1"/>
  <c r="L89" i="1"/>
  <c r="L85" i="1"/>
  <c r="L84" i="1"/>
  <c r="L83" i="1" s="1"/>
  <c r="L343" i="1" l="1"/>
  <c r="L347" i="1"/>
  <c r="K28" i="1"/>
  <c r="L271" i="1"/>
  <c r="L269" i="1"/>
  <c r="L266" i="1"/>
  <c r="L268" i="1"/>
  <c r="L265" i="1"/>
  <c r="L270" i="1"/>
  <c r="L267" i="1"/>
  <c r="L42" i="1"/>
  <c r="L35" i="1"/>
  <c r="L39" i="1"/>
  <c r="L38" i="1"/>
  <c r="L37" i="1"/>
  <c r="L33" i="1"/>
  <c r="L34" i="1"/>
  <c r="L354" i="1"/>
  <c r="K296" i="1"/>
  <c r="M288" i="1" s="1"/>
  <c r="H55" i="7"/>
  <c r="I55" i="7" s="1"/>
  <c r="G75" i="7"/>
  <c r="G98" i="7" s="1"/>
  <c r="H75" i="7"/>
  <c r="H98" i="7" s="1"/>
  <c r="K356" i="1"/>
  <c r="L353" i="1"/>
  <c r="L352" i="1"/>
  <c r="L351" i="1"/>
  <c r="L337" i="1"/>
  <c r="L338" i="1"/>
  <c r="L336" i="1"/>
  <c r="L340" i="1"/>
  <c r="L345" i="1"/>
  <c r="L344" i="1"/>
  <c r="L346" i="1"/>
  <c r="L339" i="1"/>
  <c r="L350" i="1"/>
  <c r="K60" i="1"/>
  <c r="L273" i="1"/>
  <c r="L272" i="1"/>
  <c r="K101" i="1"/>
  <c r="L99" i="1"/>
  <c r="L69" i="1"/>
  <c r="K96" i="1"/>
  <c r="E30" i="7" s="1"/>
  <c r="L88" i="1"/>
  <c r="L74" i="1"/>
  <c r="L76" i="1"/>
  <c r="L72" i="1"/>
  <c r="L73" i="1"/>
  <c r="L75" i="1"/>
  <c r="L66" i="1"/>
  <c r="L68" i="1"/>
  <c r="L67" i="1"/>
  <c r="L65" i="1"/>
  <c r="L47" i="1"/>
  <c r="L17" i="1"/>
  <c r="L18" i="1"/>
  <c r="L13" i="1"/>
  <c r="L15" i="1"/>
  <c r="L40" i="1"/>
  <c r="L14" i="1"/>
  <c r="L16" i="1"/>
  <c r="E37" i="7" l="1"/>
  <c r="E98" i="7" s="1"/>
  <c r="F37" i="7"/>
  <c r="F98" i="7" s="1"/>
  <c r="L335" i="1"/>
  <c r="L342" i="1"/>
  <c r="L32" i="1"/>
  <c r="M349" i="1"/>
  <c r="L12" i="1"/>
  <c r="D20" i="7"/>
  <c r="M21" i="1"/>
  <c r="J55" i="7"/>
  <c r="M98" i="1"/>
  <c r="I75" i="7"/>
  <c r="J75" i="7" s="1"/>
  <c r="I30" i="7"/>
  <c r="J30" i="7" s="1"/>
  <c r="M32" i="1"/>
  <c r="D25" i="7"/>
  <c r="I25" i="7" s="1"/>
  <c r="J25" i="7" s="1"/>
  <c r="M335" i="1"/>
  <c r="M42" i="1"/>
  <c r="M342" i="1"/>
  <c r="L263" i="1"/>
  <c r="L349" i="1"/>
  <c r="M101" i="1"/>
  <c r="L98" i="1"/>
  <c r="M283" i="1"/>
  <c r="M253" i="1"/>
  <c r="M275" i="1"/>
  <c r="M263" i="1"/>
  <c r="M210" i="1"/>
  <c r="M229" i="1"/>
  <c r="M236" i="1"/>
  <c r="M216" i="1"/>
  <c r="L71" i="1"/>
  <c r="L64" i="1"/>
  <c r="M12" i="1"/>
  <c r="M78" i="1"/>
  <c r="M88" i="1"/>
  <c r="M83" i="1"/>
  <c r="M64" i="1"/>
  <c r="M71" i="1"/>
  <c r="I20" i="7" l="1"/>
  <c r="J20" i="7" s="1"/>
  <c r="D98" i="7"/>
  <c r="I37" i="7"/>
  <c r="J37" i="7" s="1"/>
  <c r="M356" i="1"/>
  <c r="K331" i="1"/>
  <c r="K398" i="1" s="1"/>
  <c r="M296" i="1"/>
  <c r="M96" i="1"/>
  <c r="M28" i="1"/>
  <c r="M328" i="1" l="1"/>
  <c r="J68" i="7"/>
  <c r="E100" i="7"/>
  <c r="I98" i="7"/>
  <c r="D99" i="7" s="1"/>
  <c r="M300" i="1"/>
  <c r="M315" i="1"/>
  <c r="M312" i="1"/>
  <c r="M324" i="1"/>
  <c r="M49" i="1"/>
  <c r="M60" i="1" s="1"/>
  <c r="N288" i="1" l="1"/>
  <c r="N21" i="1"/>
  <c r="J98" i="7"/>
  <c r="H99" i="7"/>
  <c r="E99" i="7"/>
  <c r="G99" i="7"/>
  <c r="F100" i="7"/>
  <c r="E101" i="7"/>
  <c r="F99" i="7"/>
  <c r="N83" i="1"/>
  <c r="N185" i="1"/>
  <c r="N315" i="1"/>
  <c r="N88" i="1"/>
  <c r="N192" i="1"/>
  <c r="N324" i="1"/>
  <c r="N300" i="1"/>
  <c r="N179" i="1"/>
  <c r="N98" i="1"/>
  <c r="N101" i="1" s="1"/>
  <c r="N210" i="1"/>
  <c r="N328" i="1"/>
  <c r="N119" i="1"/>
  <c r="N360" i="1"/>
  <c r="N263" i="1"/>
  <c r="N283" i="1"/>
  <c r="N103" i="1"/>
  <c r="N109" i="1" s="1"/>
  <c r="N216" i="1"/>
  <c r="N335" i="1"/>
  <c r="N32" i="1"/>
  <c r="N253" i="1"/>
  <c r="N160" i="1"/>
  <c r="N49" i="1"/>
  <c r="N372" i="1"/>
  <c r="N376" i="1" s="1"/>
  <c r="N384" i="1"/>
  <c r="N389" i="1" s="1"/>
  <c r="N312" i="1"/>
  <c r="N113" i="1"/>
  <c r="N229" i="1"/>
  <c r="N342" i="1"/>
  <c r="N236" i="1"/>
  <c r="N136" i="1"/>
  <c r="N42" i="1"/>
  <c r="N364" i="1"/>
  <c r="N275" i="1"/>
  <c r="N173" i="1"/>
  <c r="N176" i="1"/>
  <c r="N78" i="1"/>
  <c r="N349" i="1"/>
  <c r="N163" i="1"/>
  <c r="N378" i="1"/>
  <c r="N382" i="1" s="1"/>
  <c r="N71" i="1"/>
  <c r="N391" i="1"/>
  <c r="N396" i="1" s="1"/>
  <c r="N64" i="1"/>
  <c r="N12" i="1"/>
  <c r="M331" i="1"/>
  <c r="N28" i="1" l="1"/>
  <c r="G100" i="7"/>
  <c r="F101" i="7"/>
  <c r="N96" i="1"/>
  <c r="N296" i="1"/>
  <c r="N60" i="1"/>
  <c r="N331" i="1"/>
  <c r="N356" i="1"/>
  <c r="N206" i="1"/>
  <c r="N370" i="1"/>
  <c r="H100" i="7" l="1"/>
  <c r="H101" i="7" s="1"/>
  <c r="G101" i="7"/>
  <c r="N398" i="1"/>
</calcChain>
</file>

<file path=xl/sharedStrings.xml><?xml version="1.0" encoding="utf-8"?>
<sst xmlns="http://schemas.openxmlformats.org/spreadsheetml/2006/main" count="2624" uniqueCount="1009">
  <si>
    <t xml:space="preserve">BDI: </t>
  </si>
  <si>
    <t>un</t>
  </si>
  <si>
    <t>ITEM</t>
  </si>
  <si>
    <t>CÓDIGO</t>
  </si>
  <si>
    <t>FONTE</t>
  </si>
  <si>
    <t>DESCRIÇÃO DOS SERVIÇOS</t>
  </si>
  <si>
    <t>UNID.</t>
  </si>
  <si>
    <t>QUANT.</t>
  </si>
  <si>
    <t>VALOR (R$)</t>
  </si>
  <si>
    <t xml:space="preserve">SERVIÇOS PRELIMINARES </t>
  </si>
  <si>
    <t>SINAPI</t>
  </si>
  <si>
    <t xml:space="preserve"> m²</t>
  </si>
  <si>
    <t>SEINFRA</t>
  </si>
  <si>
    <t>m</t>
  </si>
  <si>
    <t>m³</t>
  </si>
  <si>
    <t>m²</t>
  </si>
  <si>
    <t>FUNDAÇÕES</t>
  </si>
  <si>
    <t>kg</t>
  </si>
  <si>
    <t>CONCRETO ARMADO PARA FUNDAÇÕES - VIGAS BALDRAMES</t>
  </si>
  <si>
    <t>CONCRETO ARMADO - PILARES</t>
  </si>
  <si>
    <t>CONCRETO ARMADO - VIGAS</t>
  </si>
  <si>
    <t>CONCRETO ARMADO PARA VERGAS</t>
  </si>
  <si>
    <t xml:space="preserve">ESQUADRIAS </t>
  </si>
  <si>
    <t>PORTAS DE MADEIRA</t>
  </si>
  <si>
    <t>MERCADO</t>
  </si>
  <si>
    <t>FERRAGENS E ACESSÓRIOS</t>
  </si>
  <si>
    <t>7.1</t>
  </si>
  <si>
    <t>7.2</t>
  </si>
  <si>
    <t>7.3</t>
  </si>
  <si>
    <t>8.1</t>
  </si>
  <si>
    <t>REVESTIMENTOS INTERNOS E EXTERNOS</t>
  </si>
  <si>
    <t>10.1</t>
  </si>
  <si>
    <t xml:space="preserve">PINTURA </t>
  </si>
  <si>
    <t xml:space="preserve">LOUÇAS E METAIS </t>
  </si>
  <si>
    <t>un.</t>
  </si>
  <si>
    <t>SISTEMA DE PROTEÇÃO CONTRA INCÊNDIO</t>
  </si>
  <si>
    <t>ORSE</t>
  </si>
  <si>
    <t>INSTALAÇÕES ELÉTRICAS - 220V</t>
  </si>
  <si>
    <t>DISJUNTORES</t>
  </si>
  <si>
    <t>ELETRODUTOS E ACESSÓRIOS</t>
  </si>
  <si>
    <t>ILUMINAÇÃO E TOMADAS</t>
  </si>
  <si>
    <t xml:space="preserve">un </t>
  </si>
  <si>
    <t>Custo TOTAL com BDI incluso</t>
  </si>
  <si>
    <t>CONCRETO ARMADO - LAJES</t>
  </si>
  <si>
    <t>CENTRO DE DISTRIBUIÇÃO E ENTRADA DE ENERGIA</t>
  </si>
  <si>
    <t>Número de Registro no CREA ou CAU:</t>
  </si>
  <si>
    <t xml:space="preserve">Obra: IPRECAL - Projeto Sede </t>
  </si>
  <si>
    <t>LOCAÇÃO DA OBRA</t>
  </si>
  <si>
    <t>5.1</t>
  </si>
  <si>
    <t>5.2</t>
  </si>
  <si>
    <t>5.4</t>
  </si>
  <si>
    <t>6.1</t>
  </si>
  <si>
    <t>6.2</t>
  </si>
  <si>
    <t xml:space="preserve">COBERTURA </t>
  </si>
  <si>
    <t>8.2</t>
  </si>
  <si>
    <t>8.3</t>
  </si>
  <si>
    <t>8.4</t>
  </si>
  <si>
    <t>Dobradiças</t>
  </si>
  <si>
    <t xml:space="preserve">JANELAS DE ALUMÍNIO </t>
  </si>
  <si>
    <t>TERRAPLANAGEM</t>
  </si>
  <si>
    <t>CABEAMENTO DE DADOS</t>
  </si>
  <si>
    <t>CLIMATIZAÇÃO</t>
  </si>
  <si>
    <t>REVESTIMENTO CERÂMICO</t>
  </si>
  <si>
    <t>MARMORARIA</t>
  </si>
  <si>
    <t>ACABAMENTOS</t>
  </si>
  <si>
    <t>FORRO</t>
  </si>
  <si>
    <t>PAISAGISMO</t>
  </si>
  <si>
    <t>CALÇADAS</t>
  </si>
  <si>
    <t>ACESSIBILIDADE</t>
  </si>
  <si>
    <t>LUMINÁRIAS E ACABAMENTOS ELÉTRICOS</t>
  </si>
  <si>
    <t>10.2</t>
  </si>
  <si>
    <t>11.1</t>
  </si>
  <si>
    <t>11.2</t>
  </si>
  <si>
    <t>12.1</t>
  </si>
  <si>
    <t>12.2</t>
  </si>
  <si>
    <t>13.1</t>
  </si>
  <si>
    <t>CAIXAS E RALOS</t>
  </si>
  <si>
    <t>Caixa de gordura circular Ø40cm</t>
  </si>
  <si>
    <t>Caixa Sifonada Montada com Grelha e Porta Grelha Redondos 100 x 100 x 50mm</t>
  </si>
  <si>
    <t xml:space="preserve">Curva de Transposição Soldável 25mm </t>
  </si>
  <si>
    <t xml:space="preserve">Joelho 90º Soldável 25mm </t>
  </si>
  <si>
    <t xml:space="preserve">Joelho 90º Soldável 32mm </t>
  </si>
  <si>
    <t xml:space="preserve">Joelho 90º Soldável 40mm </t>
  </si>
  <si>
    <t xml:space="preserve">Joelho 90º Soldável com Bucha de Latão 25 x 1/2'' </t>
  </si>
  <si>
    <t xml:space="preserve">Joelho 90º Soldável com Bucha de Latão 25 x 3/4'' </t>
  </si>
  <si>
    <t xml:space="preserve">Luva Soldável e com Bucha de Latão 32 x 1'' </t>
  </si>
  <si>
    <t xml:space="preserve">Tê Soldável 25mm </t>
  </si>
  <si>
    <t xml:space="preserve">Tê Soldável 32mm </t>
  </si>
  <si>
    <t xml:space="preserve">União Soldável 32mm </t>
  </si>
  <si>
    <t>CONEXÕES - SÉRIE NORMAL</t>
  </si>
  <si>
    <t>Bucha de Redução Longa 50x40mm</t>
  </si>
  <si>
    <t xml:space="preserve">Cap 150mm </t>
  </si>
  <si>
    <t xml:space="preserve">Joelho 45º 40mm </t>
  </si>
  <si>
    <t xml:space="preserve">Joelho 45º 50mm </t>
  </si>
  <si>
    <t xml:space="preserve">Joelho 45º 100mm </t>
  </si>
  <si>
    <t xml:space="preserve">Joelho 90º 40mm </t>
  </si>
  <si>
    <t xml:space="preserve">Joelho 90º 50mm </t>
  </si>
  <si>
    <t xml:space="preserve">Joelho 90º 100mm </t>
  </si>
  <si>
    <t xml:space="preserve">Joelho 90º 150mm </t>
  </si>
  <si>
    <t xml:space="preserve">Junção Simples 50 x 50mm </t>
  </si>
  <si>
    <t xml:space="preserve">Junção Simples 100 x 50mm </t>
  </si>
  <si>
    <t xml:space="preserve">Junção Simples 100 x 100mm </t>
  </si>
  <si>
    <t xml:space="preserve">Tê 50 x 50mm </t>
  </si>
  <si>
    <t xml:space="preserve">Tê 100 x 100mm </t>
  </si>
  <si>
    <t xml:space="preserve">Tê 150 x 100mm </t>
  </si>
  <si>
    <t xml:space="preserve">Tê 150 x 150mm </t>
  </si>
  <si>
    <t>MOTOBOMBA</t>
  </si>
  <si>
    <t>Motobombas Centrífugas Monoestágio - Série BCR-2000 - Vazão = 2 m3/h - Altura Manometrica = 9 m.c.a. - Potência = 1/4 CV</t>
  </si>
  <si>
    <t>REGISTROS E VÁLVULAS</t>
  </si>
  <si>
    <t>Hidrômetro Multijato 1" Vazão Máxima 10 m³/h</t>
  </si>
  <si>
    <t>Registro de gaveta ABNT 1 1/4"</t>
  </si>
  <si>
    <t>Registro de gaveta ABNT 1"</t>
  </si>
  <si>
    <t>Registro Esfera VS Soldável 25mm</t>
  </si>
  <si>
    <t>Registro Esfera VS Soldável 32mm</t>
  </si>
  <si>
    <t>Registro Esfera VS Soldável 40mm</t>
  </si>
  <si>
    <t>Válvula de retenção vertical 1"</t>
  </si>
  <si>
    <t>RESERVATÓRIOS</t>
  </si>
  <si>
    <t>Caixa d’água de polietileno, 2.000 litros</t>
  </si>
  <si>
    <t>TUBOS PVC SOLDÁVEL</t>
  </si>
  <si>
    <t>TUBOS PVC SÉRIE NORMAL</t>
  </si>
  <si>
    <t>Tubo Série Normal, 40mm</t>
  </si>
  <si>
    <t>Tubo Série Normal, 50mm</t>
  </si>
  <si>
    <t>Tubo Série Normal, 100mm</t>
  </si>
  <si>
    <t>Tubo Série Normal, 150mm</t>
  </si>
  <si>
    <t>CONEXÕES - PVC SOLDÁVEL</t>
  </si>
  <si>
    <t>Placa LED embutir 120x15 36w</t>
  </si>
  <si>
    <t>Placa LED sobrepor 17x17 12w</t>
  </si>
  <si>
    <t>Spot de solo 12w</t>
  </si>
  <si>
    <t>Refletor 50w</t>
  </si>
  <si>
    <t>CONCRETO ARMADO PARA FUNDAÇÕES - ESTACA DE CONCRETO ARMADO</t>
  </si>
  <si>
    <t xml:space="preserve">SISTEMAS DE PISOS INTERNOS E EXTERNOS </t>
  </si>
  <si>
    <t>9.1</t>
  </si>
  <si>
    <t>9.2</t>
  </si>
  <si>
    <t>9.3</t>
  </si>
  <si>
    <t xml:space="preserve">MATILDE IHVENS GUIMARÃES SILVA  </t>
  </si>
  <si>
    <t>CABOS E FIOS CONDUTORES</t>
  </si>
  <si>
    <t>Interruptor de 1 tecla PARALELO + 1 tecla SIMPLES (incluindo suporte e placa)</t>
  </si>
  <si>
    <t>Interruptor de 2 teclas SIMPLES (incluindo suporte e placa)</t>
  </si>
  <si>
    <t>Interruptor de 1 tecla SIMPLES (incluindo suporte e placa)</t>
  </si>
  <si>
    <t>Tomada universal 1T-10A (incluindo suporte e placa)</t>
  </si>
  <si>
    <t>Tomada universal 1T-20A (incluindo suporte e placa)</t>
  </si>
  <si>
    <t>INSTALAÇÕES HIDROSSANITÁRIAS</t>
  </si>
  <si>
    <t xml:space="preserve">Barra de Apoio 70 cm reto </t>
  </si>
  <si>
    <t xml:space="preserve">Barra Apoio 80 cm reto </t>
  </si>
  <si>
    <t>Guarda-Corpo de aço galvanizado de 1,10m de altura</t>
  </si>
  <si>
    <t>BANCADAS</t>
  </si>
  <si>
    <t>Chapisco de aderência em paredes internas, externas, vigas e platibanda, inclusive teto</t>
  </si>
  <si>
    <t xml:space="preserve">Reboco em massa única para paredes externas traço 1:2:9 - preparo manual - espessura 2,5 cm </t>
  </si>
  <si>
    <t>Porcelanato "A" 70X70 acetinado retificado maipo delta</t>
  </si>
  <si>
    <t>Porcelanato "A" 62,5X62,5 acetinado retificado classic white elizabeth</t>
  </si>
  <si>
    <t>Porcelanato "A" 70X70 acetinado retificado santorine delta</t>
  </si>
  <si>
    <t>Dispenser Porta Papel Higiênico Rolão Premisse Velox</t>
  </si>
  <si>
    <t>6.3</t>
  </si>
  <si>
    <t>6.4</t>
  </si>
  <si>
    <t>6.5</t>
  </si>
  <si>
    <t>6.6</t>
  </si>
  <si>
    <t>6.9</t>
  </si>
  <si>
    <t>6.10</t>
  </si>
  <si>
    <t>1.2</t>
  </si>
  <si>
    <t>Soleira granito cinza andorinha</t>
  </si>
  <si>
    <t>BIODIGESTOR</t>
  </si>
  <si>
    <t>Reboco em Argamassa Traço 1:2:6, Preparo Manual, Aplicada em paredes internas Espessura Maior Ou Igual A 20 mm</t>
  </si>
  <si>
    <t xml:space="preserve">Contrapiso e=2,0cm </t>
  </si>
  <si>
    <t>EMPRESA</t>
  </si>
  <si>
    <t>COTAÇÕES</t>
  </si>
  <si>
    <t>DESCRIÇÃO</t>
  </si>
  <si>
    <t>UNIDADE</t>
  </si>
  <si>
    <t>NOME DA EMPRESA</t>
  </si>
  <si>
    <t>Casas da água</t>
  </si>
  <si>
    <t>Balaroti</t>
  </si>
  <si>
    <t>MadeiraMadeira</t>
  </si>
  <si>
    <t>Cotação</t>
  </si>
  <si>
    <t>001</t>
  </si>
  <si>
    <t>Observações:</t>
  </si>
  <si>
    <t>Acquafort</t>
  </si>
  <si>
    <t>Tê 150x150 mm</t>
  </si>
  <si>
    <t>002</t>
  </si>
  <si>
    <t>Motobomba Centrífuga</t>
  </si>
  <si>
    <t>003</t>
  </si>
  <si>
    <t>004</t>
  </si>
  <si>
    <t>005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</si>
  <si>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</si>
  <si>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</si>
  <si>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</si>
  <si>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</si>
  <si>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</si>
  <si>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</si>
  <si>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</si>
  <si>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</si>
  <si>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</si>
  <si>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</si>
  <si>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</si>
  <si>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</si>
  <si>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</si>
  <si>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</si>
  <si>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Porcelanato "A" 70X70 acetinado retificado</t>
  </si>
  <si>
    <t>Porcelanato  "A" 52X52 polido retificado</t>
  </si>
  <si>
    <t>Porcelanato "A" 62,5X62,5 acetinado retificado</t>
  </si>
  <si>
    <t>023</t>
  </si>
  <si>
    <t>024</t>
  </si>
  <si>
    <t>025</t>
  </si>
  <si>
    <t>026</t>
  </si>
  <si>
    <t>Porcelanato  "A" 70X70 polido retificado</t>
  </si>
  <si>
    <t>Placa de sinalização saída de emergência</t>
  </si>
  <si>
    <t>027</t>
  </si>
  <si>
    <t>Torneira Lavatório de Mesa Bica Baixa Cromado</t>
  </si>
  <si>
    <t>028</t>
  </si>
  <si>
    <t>029</t>
  </si>
  <si>
    <t>030</t>
  </si>
  <si>
    <t>031</t>
  </si>
  <si>
    <t>032</t>
  </si>
  <si>
    <t>033</t>
  </si>
  <si>
    <t>034</t>
  </si>
  <si>
    <t>035</t>
  </si>
  <si>
    <t>Dispenser Porta Papel Higiênico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</si>
  <si>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</si>
  <si>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</si>
  <si>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</si>
  <si>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</si>
  <si>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</si>
  <si>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</si>
  <si>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</si>
  <si>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</si>
  <si>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</si>
  <si>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</si>
  <si>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</si>
  <si>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</si>
  <si>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</si>
  <si>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Tê Soldável com Bucha de Latão na Bolsa Central 25 x 1/2'', PVC Marrom, Água Fria</t>
  </si>
  <si>
    <t>Tubo Série Normal, 75mm</t>
  </si>
  <si>
    <t>049</t>
  </si>
  <si>
    <t>COTAÇÃO</t>
  </si>
  <si>
    <t>Caixa de areia 40x40x40 em alvenaria</t>
  </si>
  <si>
    <t>01206/ORSE Tê 150x100mm</t>
  </si>
  <si>
    <t>050</t>
  </si>
  <si>
    <t xml:space="preserve">COTAÇÃO </t>
  </si>
  <si>
    <t>051</t>
  </si>
  <si>
    <t>052</t>
  </si>
  <si>
    <t>053</t>
  </si>
  <si>
    <t>054</t>
  </si>
  <si>
    <t>055</t>
  </si>
  <si>
    <t>Orse</t>
  </si>
  <si>
    <t>056</t>
  </si>
  <si>
    <t>057</t>
  </si>
  <si>
    <t>058</t>
  </si>
  <si>
    <t>059</t>
  </si>
  <si>
    <t>060</t>
  </si>
  <si>
    <t>061</t>
  </si>
  <si>
    <t>062</t>
  </si>
  <si>
    <t>063</t>
  </si>
  <si>
    <t xml:space="preserve">Porcelanato "A" 70X70 rústico retificado </t>
  </si>
  <si>
    <t>Marmoraria Àgata</t>
  </si>
  <si>
    <t>Marmoraria Dalsasso</t>
  </si>
  <si>
    <t>Cia da Samália</t>
  </si>
  <si>
    <t>064</t>
  </si>
  <si>
    <t>COMPOSIÇÃO</t>
  </si>
  <si>
    <t>065</t>
  </si>
  <si>
    <t>066</t>
  </si>
  <si>
    <t>067</t>
  </si>
  <si>
    <t>068</t>
  </si>
  <si>
    <t>Soleiras em granito</t>
  </si>
  <si>
    <t>069</t>
  </si>
  <si>
    <t>070</t>
  </si>
  <si>
    <t>071</t>
  </si>
  <si>
    <t>Pingadeiras em granito</t>
  </si>
  <si>
    <t>Pingadeiras granito cinza andorinha</t>
  </si>
  <si>
    <t>Rodapé 10cm concreto pré moldado</t>
  </si>
  <si>
    <t>Esquadrias Irmãos Lo</t>
  </si>
  <si>
    <t>Esquadrias Azulão</t>
  </si>
  <si>
    <t>072</t>
  </si>
  <si>
    <t>01611/ORSE Meio Fio pré-moldado concreto (0,12 x 0,30 x 1,00m)</t>
  </si>
  <si>
    <t>12189/ORSE Corrimão duplo central em tubo de ferro galvanizado 1 1/2", com chumbadores para fixação no piso</t>
  </si>
  <si>
    <t xml:space="preserve">12122/ORSE Barra de Apoio 40 cm reto </t>
  </si>
  <si>
    <t>Placa de concreto pisograma quadrado 50x50x08 cm armado</t>
  </si>
  <si>
    <t>Porta de Giro Interna - Madeira - 80x210</t>
  </si>
  <si>
    <t>Porta de correr interna - Madeira  80x210</t>
  </si>
  <si>
    <t>Porta de Giro externa - Madeira 80x210</t>
  </si>
  <si>
    <t>09041/ORSE Protetor DPS Classe 1 Tripolar 60ka 385VA</t>
  </si>
  <si>
    <t>Fechadura de correr</t>
  </si>
  <si>
    <t>Trinco 9cm cromado</t>
  </si>
  <si>
    <t>09629/ORSE Balizador embutido de piso 5w</t>
  </si>
  <si>
    <t>Forro placas cimentícia</t>
  </si>
  <si>
    <t>Leroy Merlin</t>
  </si>
  <si>
    <t>Demonstrativo de cálculo do BDI</t>
  </si>
  <si>
    <t xml:space="preserve">Empreendimento: </t>
  </si>
  <si>
    <t xml:space="preserve">Etapa: </t>
  </si>
  <si>
    <t>Global</t>
  </si>
  <si>
    <t xml:space="preserve">Tipologia: </t>
  </si>
  <si>
    <t xml:space="preserve">Construção de edifícios </t>
  </si>
  <si>
    <t xml:space="preserve">Desoneração: </t>
  </si>
  <si>
    <t>SEM desoneração (CPFS=20%)</t>
  </si>
  <si>
    <t>Componente do BDI</t>
  </si>
  <si>
    <t>Mínimo</t>
  </si>
  <si>
    <t>Máximo</t>
  </si>
  <si>
    <t>Adotado</t>
  </si>
  <si>
    <t>Administração Central</t>
  </si>
  <si>
    <t>Seguro e Garantia</t>
  </si>
  <si>
    <t>Risco</t>
  </si>
  <si>
    <t>Despesas Financeiras</t>
  </si>
  <si>
    <t>Lucro</t>
  </si>
  <si>
    <t>Tributos</t>
  </si>
  <si>
    <t>incidência</t>
  </si>
  <si>
    <t>alíquota</t>
  </si>
  <si>
    <t>ISS</t>
  </si>
  <si>
    <t>PIS/Cofins</t>
  </si>
  <si>
    <t>CPRB</t>
  </si>
  <si>
    <t>TOTAL</t>
  </si>
  <si>
    <t xml:space="preserve">Fórmula adotada: </t>
  </si>
  <si>
    <t>Responsável técnico pelo orçamento (sob carimbo)</t>
  </si>
  <si>
    <t>Valores de referência para o cálculo do BDI - Acórdão 2622/2013/TCU/Plenário</t>
  </si>
  <si>
    <t>Tipo de obra</t>
  </si>
  <si>
    <t>BDI</t>
  </si>
  <si>
    <t>Componentes do BDI (valores mínimo e máximo)</t>
  </si>
  <si>
    <t>sem desoneração</t>
  </si>
  <si>
    <t>com desoneração</t>
  </si>
  <si>
    <t>Admin. Central</t>
  </si>
  <si>
    <t>Despesas Financ.</t>
  </si>
  <si>
    <t>mínimo</t>
  </si>
  <si>
    <t>máximo</t>
  </si>
  <si>
    <t>(*)</t>
  </si>
  <si>
    <t>0 ou 2%</t>
  </si>
  <si>
    <t>Rodovias e ferrovias</t>
  </si>
  <si>
    <t>Estações e redes de água e esgoto</t>
  </si>
  <si>
    <t>Estações e redes de energia elétrica</t>
  </si>
  <si>
    <t>Portuárias, marítimas e fluviais</t>
  </si>
  <si>
    <t>Materiais e equipamentos (instalados)</t>
  </si>
  <si>
    <t>Materiais e equipamentos (antecipado)</t>
  </si>
  <si>
    <t>(1) Limites com desoneração considerando um impacto de 2,23 p.p. devido à CPRB.</t>
  </si>
  <si>
    <t>(2) Tributos conforme legislação municipal (PIS, COFINS, ISS e contribuição previdenciária CPRB).</t>
  </si>
  <si>
    <t>IPRECAL - PROJETO SEDE</t>
  </si>
  <si>
    <t>Excelence Soluções em esquadrias e vidros</t>
  </si>
  <si>
    <t>Biodigestor Polietileno Bakof 1450L</t>
  </si>
  <si>
    <t xml:space="preserve">Cassol </t>
  </si>
  <si>
    <t>Águas Claras Engenharia</t>
  </si>
  <si>
    <t xml:space="preserve">Biodigestor Polietileno 1450 litros BakofTec Altura: 179 cm Diâmetro: 125 cm    </t>
  </si>
  <si>
    <t>Cassol</t>
  </si>
  <si>
    <t>Americanas</t>
  </si>
  <si>
    <t>Casas Bahia</t>
  </si>
  <si>
    <t>Dobradiça Comum 3¹/2" Zincado</t>
  </si>
  <si>
    <t>Mark Ferragens</t>
  </si>
  <si>
    <t>C&amp;C Casa e Construção</t>
  </si>
  <si>
    <t>Fechadura Externa Espelho Aço 40mm Mgm Firenze</t>
  </si>
  <si>
    <t xml:space="preserve">
MadeiraMadeira</t>
  </si>
  <si>
    <t>Americanas.com</t>
  </si>
  <si>
    <t>Ricardo Eletro</t>
  </si>
  <si>
    <t>Fechadura Interna Bico Papagaio Porta Correr Soprano Antique</t>
  </si>
  <si>
    <t>Shoptime</t>
  </si>
  <si>
    <t>Mercado Livre</t>
  </si>
  <si>
    <t>Telhanorte</t>
  </si>
  <si>
    <t>Magazine Luiza</t>
  </si>
  <si>
    <t>Breithaupt</t>
  </si>
  <si>
    <t>Oliveira Artefatos de Cimento</t>
  </si>
  <si>
    <t>Ativix</t>
  </si>
  <si>
    <t>Marmoraria Schmidt</t>
  </si>
  <si>
    <t>considerado valores descontado a cuba embutida</t>
  </si>
  <si>
    <t>Cap PVC Tigre 150mm Branco</t>
  </si>
  <si>
    <t xml:space="preserve">CAP PVC 150mm </t>
  </si>
  <si>
    <t>Tê de Esgoto PVC Tigre 150x150mm Branco</t>
  </si>
  <si>
    <t xml:space="preserve">Referência </t>
  </si>
  <si>
    <t>Bomba Schneider BCR-2000 1/4cv - 220V Monofásica</t>
  </si>
  <si>
    <t>Mérito Comércio de Equipamentos</t>
  </si>
  <si>
    <t>Hidrômetro Multijato 1" Vazão Máxima 10 m³/h Elster -  Kit de instalação incluso</t>
  </si>
  <si>
    <t>Placa de obra (para construcao civil) em chapa galvanizada *n. 22*, adesivada, de *2,0 x 1,125* m</t>
  </si>
  <si>
    <t>95634</t>
  </si>
  <si>
    <t>UM</t>
  </si>
  <si>
    <t xml:space="preserve">COEF. </t>
  </si>
  <si>
    <t>DESONERADO</t>
  </si>
  <si>
    <t>NÃO DESONERADO.</t>
  </si>
  <si>
    <t>UNID</t>
  </si>
  <si>
    <t>SINAPI-I</t>
  </si>
  <si>
    <t>UN.</t>
  </si>
  <si>
    <t>H</t>
  </si>
  <si>
    <t>CALCULO</t>
  </si>
  <si>
    <t>Kit cavalete para medição de água - entrada principal, em pvc soldável DN 25 (% ). Fornecimento e inalação (exclusive hidrômetro)</t>
  </si>
  <si>
    <t xml:space="preserve">FITA VEDA ROSCA EM ROLOS DE 18 MM X 50 M (L X C) </t>
  </si>
  <si>
    <t xml:space="preserve"> AUXILIAR DE ENCANADOR OU BOMBEIRO HIDRÁULICO COM ENCARGOS COMPLEMENTARES </t>
  </si>
  <si>
    <t xml:space="preserve">ENCANADOR OU BOMBEIRO HIDRÁULICO COM ENCARGOS COMPLEMENTARES </t>
  </si>
  <si>
    <t xml:space="preserve"> 88267 </t>
  </si>
  <si>
    <t>88248</t>
  </si>
  <si>
    <t>Hidrômetro Multijato 10 m³/h. Fornecimento e instalação</t>
  </si>
  <si>
    <t>%do Sub-item</t>
  </si>
  <si>
    <t>% do item</t>
  </si>
  <si>
    <t>1.2.1</t>
  </si>
  <si>
    <t>m³/km</t>
  </si>
  <si>
    <t xml:space="preserve">ESPALHAMENTO DE MATERIAL COM TRATOR DE ESTEIRAS. AF_11/2019  </t>
  </si>
  <si>
    <t xml:space="preserve"> </t>
  </si>
  <si>
    <t xml:space="preserve">               </t>
  </si>
  <si>
    <t xml:space="preserve">CARGA E DESCARGA MECANICA DE SOLO UTILIZANDO CAMINHAO BASCULANTE 6,0M3  M3 /16T E PA CARREGADEIRA SOBRE PNEUS 128 HP, CAPACIDADE DA CAÇAMBA 1,7 A  2,8 M3, PESO OPERACIONAL 11632 KG   </t>
  </si>
  <si>
    <t xml:space="preserve"> 74010/001</t>
  </si>
  <si>
    <t>TRANSPORTE COM CAMINHÃO BASCULANTE DE 6 M3, EM VIA URBANA PAVIMENTADA DMT ATÉ 30 KM (UNIDADE: M3XKM). AF_01/2018</t>
  </si>
  <si>
    <t>SUPRAESTRUTURA</t>
  </si>
  <si>
    <t>CONCRETO ARMADO  - RESERVATÓRIO ENTERRADO</t>
  </si>
  <si>
    <t xml:space="preserve"> ALVENARIA DE VEDAÇÃO DE BLOCOS CERÂMICOS FURADOS NA VERTICAL DE 14X19X39CM (ESPESSURA 14CM) DE PAREDES COM ÁREA LÍQUIDA MAIOR OU IGUAL A 6M² COM VÃOS E ARGAMASSA DE ASSENTAMENTO COM PREPARO EM BETONEIRA. AF_06/ 2014</t>
  </si>
  <si>
    <t>SERVIÇOS INICIAIS</t>
  </si>
  <si>
    <t xml:space="preserve"> VERGA MOLDADA IN LOCO EM CONCRETO PARA JANELAS COM MAIS DE 1,5 M DE VÃO. AF_03/2016
 </t>
  </si>
  <si>
    <t xml:space="preserve"> VERGA MOLDADA IN LOCO EM CONCRETO PARA JANELAS COM ATÉ 1,5 M DE VÃO.  F_03/2016
 </t>
  </si>
  <si>
    <t xml:space="preserve">VERGA MOLDADA IN LOCO EM CONCRETO PARA PORTAS COM ATÉ 1,5 M DE VÃO
 </t>
  </si>
  <si>
    <t xml:space="preserve"> VERGA MOLDADA IN LOCO EM CONCRETO PARA PORTAS COM MAIS DE 1,5 M DE VÃO 
 </t>
  </si>
  <si>
    <t>SISTEMA DE VEDAÇÃO VERTICAL INTERNO E EXTERNO (PAREDES)</t>
  </si>
  <si>
    <t xml:space="preserve"> CONTRAVERGA MOLDADA IN LOCO EM CONCRETO PARA VÃOS DE ATÉ 1,5 M DE COMP 
 </t>
  </si>
  <si>
    <t xml:space="preserve"> CONTRAVERGA MOLDADA IN LOCO EM CONCRETO PARA VÃOS DE MAIS DE 1,5 M DE  COMP</t>
  </si>
  <si>
    <t xml:space="preserve"> 74141/004</t>
  </si>
  <si>
    <t xml:space="preserve"> LAJE PRE-MOLD BETA 20 P/3,5KN/M2 VAO 6,2M INCL VIGOTAS TIJOLOS ARMADURA NEGATIVA CAPEAMENTO 3CM CONCRETO 15MPA ESCORAMENTO MATERIAL E MAO DE OBRA.</t>
  </si>
  <si>
    <t xml:space="preserve"> 74141/001</t>
  </si>
  <si>
    <t xml:space="preserve"> CONCRETAGEM DE BLOCOS DE COROAMENTO E VIGAS BALDRAMES, FCK 30 MPA, COM USO DE BOMBA  LANÇAMENTO, ADENSAMENTO E ACABAMENTO </t>
  </si>
  <si>
    <t>CONCRETAGEM DE PILARES, FCK = 25 MPA, COM USO DE BOMBA EM EDIFICAÇÃO COM SEÇÃO MÉDIA DE PILARES MAIOR OU IGUAL A 0,25 M² - LANÇAMENTO, ADENSAMENTO E ACABAMENTO. AF_12/201</t>
  </si>
  <si>
    <t xml:space="preserve"> MONTAGEM E DESMONTAGEM DE FÔRMA DE PILARES RETANGULARES E ESTRUTURAS SIMILARES COM ÁREA MÉDIA DAS SEÇÕES MAIOR QUE 0,25 M², PÉ-DIREITO DUPLO, EM CHAPA DE MADEIRA COMPENSADA PLASTIFICADA, 10 UTILIZAÇÕES. AF_12/2015</t>
  </si>
  <si>
    <t xml:space="preserve">ARMAÇÃO DE PILAR OU VIGA DE UMA ESTRUTURA CONVENCIONAL DE CONCRETO ARMADO EM UMA EDIFICAÇÃO TÉRREA OU SOBRADO UTILIZANDO AÇO CA-50 DE 12,5 MM - MONTAGEM. AF_12/2015 </t>
  </si>
  <si>
    <t>ARMAÇÃO DE PILAR OU VIGA DE UMA ESTRUTURA CONVENCIONAL DE CONCRETO ARMADO EM UMA EDIFICAÇÃO TÉRREA OU SOBRADO UTILIZANDO AÇO CA-50 DE 10,0 MM - MONTAGEM. AF_12/2015</t>
  </si>
  <si>
    <t xml:space="preserve"> ARMAÇÃO DE PILAR OU VIGA DE UMA ESTRUTURA CONVENCIONAL DE CONCRETO ARMADO EM UMA EDIFICAÇÃO TÉRREA OU SOBRADO UTILIZANDO AÇO CA-60 DE 5,0 MM- MONTAGEM. AF_12/2015</t>
  </si>
  <si>
    <t>CONCRETO ARMADO - ESCADA</t>
  </si>
  <si>
    <t>ESCAVAÇÃO MECANIZADA PARA BLOCO DE COROAMENTO OU SAPATA, SEM PREVISÃO DE FÔRMA, COM RETROESCAVADEIRA. AF_06/2017</t>
  </si>
  <si>
    <t>ESTACA ESCAVADA MECANICAMENTE, SEM FLUIDO ESTABILIZANTE, COM 40CM DE DIÂMETRO, CONCRETO LANÇADO POR CAMINHÃO BETONEIRA (EXCLUSIVE MOBILIZAÇÃO E DESMOBILIZAÇÃO). AF_01/2020</t>
  </si>
  <si>
    <t>LASTRO DE CONCRETO MAGRO, APLICADO EM BLOCOS DE COROAMENTO OU SAPATAS AF_08/2017</t>
  </si>
  <si>
    <t>ARMAÇÃO DE BLOCO, VIGA BALDRAME E SAPATA UTILIZANDO AÇO CA-60 DE 5 MM - MONTAGEM. AF_06/2017</t>
  </si>
  <si>
    <t>EXECUÇÃO DE DEPÓSITO EM CANTEIRO DE OBRA EM CHAPA DE MADEIRA COMPENSADA, NÃO INCLUSO MOBILIÁRIO. AF_04/2016</t>
  </si>
  <si>
    <t>LOCACAO CONVENCIONAL DE OBRA, UTILIZANDO GABARITO DE TÁBUAS CORRIDAS PONTALETADAS A CADA 2,00M -  2 UTILIZAÇÕES. AF_10/2018</t>
  </si>
  <si>
    <t>EXECUÇÃO E COMPACTAÇÃO DE ATERRO COM SOLO PREDOMINANTEMENTE ARGILOSO -  EXCLUSIVE SOLO, ESCAVAÇÃO, CARGA E TRANSPORTE. AF_11/2019</t>
  </si>
  <si>
    <t>ESCAVAÇÃO MECANIZADA DE VALA COM PROF. ATÉ 1,5 M  (MÉDIA ENTRE MONTANTE E JUSANTE/UMA COMPOSIÇÃO POR TRECHO), COM ESCAVADEIRA  HIDRÁULICA (0,8 M3/111 HP), LARGURA ATÉ 1,5 M, EM SOLO DE 1A CATEGORIA, EM LOCAIS COM ALTO NÍVEL DE INTERFERÊNCIA. AF_01/2015</t>
  </si>
  <si>
    <t>CONCRETO FCK = 40MPA, TRAÇO 1:1,6:1,9 (CIMENTO/ AREIA MÉDIA/ BRITA 1)  - PREPARO MECÂNICO COM BETONEIRA 400 L. AF_07/2016</t>
  </si>
  <si>
    <t>ARMAÇÃO DE BLOCO, VIGA BALDRAME OU SAPATA UTILIZANDO AÇO CA-50 DE 10 MM - MONTAGEM. AF_06/2017</t>
  </si>
  <si>
    <t>ARMAÇÃO DE ESCADA, COM 2 LANCES, DE UMA ESTRUTURA CONVENCIONAL DE CONCRETO ARMADO UTILIZANDO AÇO CA-50 DE 10,0 MM - MONTAGEM. AF_01/2017</t>
  </si>
  <si>
    <t>CONCRETAGEM DE EDIFICAÇÕES (PAREDES E LAJES) FEITAS COM SISTEMA DE FÔRMAS MANUSEÁVEIS, COM CONCRETO USINADO BOMBEÁVEL FCK 25 MPA - LANÇAMENTO, ADENSAMENTO E ACABAMENTO (EXCLUSIVE BOMBA LANÇA). AF_06/2015</t>
  </si>
  <si>
    <t xml:space="preserve"> ARMAÇÃO DO SISTEMA DE PAREDES DE CONCRETO, EXECUTADA COMO ARMADURA NEGATIVA DE LAJES, TELA T-196. AF_06/2019</t>
  </si>
  <si>
    <t xml:space="preserve"> MONTAGEM DE ARMADURA TRANSVERSAL DE ESTACAS DE SEÇÃO CIRCULAR, DIÂMETRO = 5,0 MM. AF_11/2016</t>
  </si>
  <si>
    <t>CONTENÇÃO EM CORTINA COM ESTACAS ESPAÇADAS COM 30 CM DE DIÂMETRO E PROFUNDIDADE MENOR OU IGUAL A 10 M. AF_06/2018</t>
  </si>
  <si>
    <t>CONCRETAGEM DE RADIER, PISO OU LAJE SOBRE SOLO, FCK 30 MPA, PARA ESPESURA DE 15 CM - LANÇAMENTO, ADENSAMENTO E ACABAMENTO. AF_09/2017</t>
  </si>
  <si>
    <t>TELHAMENTO COM TELHA METÁLICA TERMOACÚSTICA E = 30 MM, COM ATÉ 2 ÁGUAS  M2 , INCLUSO IÇAMENTO. AF_07/2019</t>
  </si>
  <si>
    <t xml:space="preserve">  94216</t>
  </si>
  <si>
    <t>RUFO EM CHAPA DE AÇO GALVANIZADO NÚMERO 24, CORTE DE 25 CM, INCLUSO TRANSPORTE VERTICAL. AF_07/2019</t>
  </si>
  <si>
    <t xml:space="preserve">IMPERMEABILIZAÇÃO DE SUPERFÍCIE COM EMULSÃO ASFÁLTICA, 2 DEMÃOS
 </t>
  </si>
  <si>
    <t>IMPERMEABILIZAÇÃO DE SUPERFÍCIE COM ARGAMASSA POLIMÉRICA / MEMBRANA ACRÍLICA, 4 DEMÃOS, REFORÇADA COM VÉU DE POLIÉSTER (MAV). AF_06/201</t>
  </si>
  <si>
    <t>TAMPA DE CONCRETO ARMADO 60X60X5CM PARA CAIXA</t>
  </si>
  <si>
    <t>SOLEIRAS E PINGADEIRAS</t>
  </si>
  <si>
    <t>Elevador elétrico social para 08 passageiros ou 600kg, com 02 paradas, paineis e teto em aço escovado, corrimão tubular, portas aço inoxi, cabina 1,20-frente x 1,40-fundo x altura 2,2m inoxidável, Daiken Access ou similar (instalado)</t>
  </si>
  <si>
    <t>EXECUÇÃO DE SANITÁRIO E VESTIÁRIO EM CANTEIRO DE OBRA EM CHAPA DE MADEIRA COMPENSADA, NÃO INCLUSO MOBILIÁRIO. AF_02/201</t>
  </si>
  <si>
    <t>% global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</si>
  <si>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</si>
  <si>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</si>
  <si>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</si>
  <si>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</si>
  <si>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</si>
  <si>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</si>
  <si>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</si>
  <si>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</si>
  <si>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PR. UNIT.(R$) COM BDI</t>
  </si>
  <si>
    <t>PR. UNIT.(R$)
SEM BDI</t>
  </si>
  <si>
    <t>1.2.2</t>
  </si>
  <si>
    <t>VALOR DO ITEM</t>
  </si>
  <si>
    <t>2.1</t>
  </si>
  <si>
    <t>ARMAÇÃO DE BLOCO, VIGA BALDRAME OU SAPATA UTILIZANDO AÇO CA-50 DE 6,3 MM - MONTAGEM. AF_06/2017</t>
  </si>
  <si>
    <t>ESCAVAÇÃO MECANIZADA PARA VIGA BALDRAME, SEM PREVISÃO DE FÔRMA, COM MINI-ESCAVADEIRA. AF_06/2017</t>
  </si>
  <si>
    <t>96524</t>
  </si>
  <si>
    <t>ARMAÇÃO DE BLOCO, VIGA BALDRAME E SAPATA UTILIZANDO AÇO CA-60 DE 12,5 MM - MONTAGEM. AF_06/2017</t>
  </si>
  <si>
    <t>96543</t>
  </si>
  <si>
    <t xml:space="preserve">96547  </t>
  </si>
  <si>
    <t>LAJE PRE-MOLD BETA 11 P/1KN/M2 VAOS 4,40M/INCL VIGOTAS TIJOLOS ARMADURA NEGATIVA CAPEAMENTO 3CM CONCRETO 20MPA ESCORAMENTO MATERIAL E MAO  DE OBRA.</t>
  </si>
  <si>
    <t xml:space="preserve"> 74141/002</t>
  </si>
  <si>
    <t xml:space="preserve"> LAJE PRE-MOLD BETA 12 P/3,5KN/M2 VAO 4,1M INCL VIGOTAS TIJOLOS ARMADURA NEGATIVA CAPEAMENTO 3CM CONCRETO 15MPA ESCORAMENTO MATERIAIS E MAO DE OBRA.</t>
  </si>
  <si>
    <t xml:space="preserve"> MONTAGEM E DESMONTAGEM DE FÔRMA PARA ESCADAS, COM 2 LANCES, EM CHAPA DE MADEIRA COMPENSADA PLASTIFICADA, 10 UTILIZAÇÕES. AF_01/2017</t>
  </si>
  <si>
    <t>2.2</t>
  </si>
  <si>
    <t>2.3</t>
  </si>
  <si>
    <t>3.1</t>
  </si>
  <si>
    <t>3.2</t>
  </si>
  <si>
    <t>3.3</t>
  </si>
  <si>
    <t>3.4</t>
  </si>
  <si>
    <t>3.5</t>
  </si>
  <si>
    <t>6.7</t>
  </si>
  <si>
    <t>6.8</t>
  </si>
  <si>
    <t>7.4</t>
  </si>
  <si>
    <t>7.5</t>
  </si>
  <si>
    <t>7.6</t>
  </si>
  <si>
    <t>7.7</t>
  </si>
  <si>
    <t>7.8</t>
  </si>
  <si>
    <t>CAU A63663-0</t>
  </si>
  <si>
    <t>COMP01</t>
  </si>
  <si>
    <t>COMP02</t>
  </si>
  <si>
    <t>9416/ORSE - Instalação provisória de energia elétrica, aerea, trifasica, em poste galvanizado, exclusive fornecimento do medidor</t>
  </si>
  <si>
    <t>006</t>
  </si>
  <si>
    <t>89572</t>
  </si>
  <si>
    <t xml:space="preserve">Adaptador Soldável Curto com Bolsa e Rosca para Registro 32 x 1''  - INSTALADO EM RAMAL DE DISTRIBUIÇÃO DE ÁGUA </t>
  </si>
  <si>
    <t xml:space="preserve">Adaptador Soldável Curto com Bolsa e Rosca para Registro 32 x 1'' - INSTALADO EM PRUMADA DE ÁGUA </t>
  </si>
  <si>
    <t xml:space="preserve">Adaptador Soldável Curto com Bolsa e Rosca para Registro 25 x 3/4'' - INSTALADO EM RAMAL OU SUB-RAMAL DE ÁGUA </t>
  </si>
  <si>
    <t xml:space="preserve">Adaptador Soldável Curto com Bolsa e Rosca para Registro 40 x 1.1/4'' - INSTALADO EM PRUMADA DE ÁGUA </t>
  </si>
  <si>
    <t xml:space="preserve">Cap 100mm </t>
  </si>
  <si>
    <t xml:space="preserve">Junção Simples 150 x 100mm </t>
  </si>
  <si>
    <t>C2347</t>
  </si>
  <si>
    <t xml:space="preserve">Tê 100 x 50mm </t>
  </si>
  <si>
    <t>C2691</t>
  </si>
  <si>
    <t>Válvula de pé com Crivo Soldável 32mm</t>
  </si>
  <si>
    <t>Medidor bidirecional 225A</t>
  </si>
  <si>
    <t>Solius Energia Solar</t>
  </si>
  <si>
    <t>WinnerShop</t>
  </si>
  <si>
    <t>Referência:</t>
  </si>
  <si>
    <t>Medidor Bidirecional Smart Meter Fronius 4300011478 50Ka-3 Medidor Bidirecional Alta Precisao Trif 380V - Fronius</t>
  </si>
  <si>
    <t>03290/ORSE - Aterramento composto de haste de cobre l = 2,40m, interligada com cabo de cobre tipo cordoalha</t>
  </si>
  <si>
    <t>CAIXA DE INSPEÇÃO PARA ATERRAMENTO, CIRCULAR, EM POLIETILENO, DIÂMETRO INTERNO = 0,3 M. AF_05/2018</t>
  </si>
  <si>
    <t>98111</t>
  </si>
  <si>
    <t>93660</t>
  </si>
  <si>
    <t xml:space="preserve">   93653</t>
  </si>
  <si>
    <t xml:space="preserve">DISJUNTOR MONOPOLAR TIPO DIN, CORRENTE NOMINAL DE 10A </t>
  </si>
  <si>
    <t xml:space="preserve">DISJUNTOR BIPOLAR TIPO DIN, CORRENTE NOMINAL DE 10A </t>
  </si>
  <si>
    <t>93661</t>
  </si>
  <si>
    <t xml:space="preserve">DISJUNTOR BIPOLAR TIPO DIN, CORRENTE NOMINAL DE 16A </t>
  </si>
  <si>
    <t>Modelo Daiken Access</t>
  </si>
  <si>
    <t xml:space="preserve">Elevador elétrico </t>
  </si>
  <si>
    <t>OAMV Elevadores e Plataformas</t>
  </si>
  <si>
    <t>09041/ORSE Dispositivo de proteção contra surto de tensão DPS 60kA - 275v</t>
  </si>
  <si>
    <t xml:space="preserve">Orse </t>
  </si>
  <si>
    <t xml:space="preserve">91846 </t>
  </si>
  <si>
    <t xml:space="preserve"> Eletroduto flexível 1' instalado em laje</t>
  </si>
  <si>
    <t xml:space="preserve"> Eletroduto flexível 1' instalado em parede</t>
  </si>
  <si>
    <t xml:space="preserve"> 91836</t>
  </si>
  <si>
    <t xml:space="preserve"> Eletroduto flexível 1' instalado em forro</t>
  </si>
  <si>
    <t xml:space="preserve">LUVA PARA ELETRODUTO, PVC, ROSCÁVEL, DN 60 MM (2") </t>
  </si>
  <si>
    <t xml:space="preserve">93014 </t>
  </si>
  <si>
    <t xml:space="preserve">CURVA 90°  PARA ELETRODUTO, PVC, ROSCÁVEL, DN 60 MM (2") </t>
  </si>
  <si>
    <t xml:space="preserve">ELETRODUTO RÍGIDO ROSCÁVEL, PVC, DN 60 MM (2") </t>
  </si>
  <si>
    <t xml:space="preserve"> 93009</t>
  </si>
  <si>
    <t xml:space="preserve">ELETRODUTO RÍGIDO ROSCÁVEL, PVC, DN 50 MM (1 1/2") </t>
  </si>
  <si>
    <t xml:space="preserve"> 93008   </t>
  </si>
  <si>
    <t xml:space="preserve">LUVA PARA ELETRODUTO, PVC, ROSCÁVEL, DN 50 MM (1 1/2") </t>
  </si>
  <si>
    <t xml:space="preserve">CURVA 90°  PARA ELETRODUTO, PVC, ROSCÁVEL, DN 50 MM (1 1/2") </t>
  </si>
  <si>
    <t xml:space="preserve"> 93013 </t>
  </si>
  <si>
    <t>93018</t>
  </si>
  <si>
    <t xml:space="preserve">CAIXA DE PASSAGEM 30X30X40 COM TAMPA E DRENO BRITA </t>
  </si>
  <si>
    <t xml:space="preserve"> 83446</t>
  </si>
  <si>
    <t xml:space="preserve"> CAIXA OCTOGONAL 4" X 4", PVC, INSTALADA EM LAJE </t>
  </si>
  <si>
    <t xml:space="preserve">91936 </t>
  </si>
  <si>
    <t>CAIXA RETANGULAR 4" X 2" ALTA</t>
  </si>
  <si>
    <t xml:space="preserve">  91939</t>
  </si>
  <si>
    <t xml:space="preserve">CAIXA RETANGULAR 4" X 2" MÉDIA </t>
  </si>
  <si>
    <t>91940</t>
  </si>
  <si>
    <t xml:space="preserve">CAIXA RETANGULAR 4" X 2" BAIXA </t>
  </si>
  <si>
    <t>CABO DE COBRE FLEXÍVEL ISOLADO, 1,5 MM²</t>
  </si>
  <si>
    <t xml:space="preserve">91924 </t>
  </si>
  <si>
    <t>CABO DE COBRE FLEXÍVEL ISOLADO, 2,5 MM²</t>
  </si>
  <si>
    <t>91926</t>
  </si>
  <si>
    <t xml:space="preserve">91930 </t>
  </si>
  <si>
    <t xml:space="preserve"> PATCH PANEL 24 PORTAS, CATEGORIA 5E </t>
  </si>
  <si>
    <t xml:space="preserve"> 98301</t>
  </si>
  <si>
    <t xml:space="preserve"> TOMADA DE REDE RJ45</t>
  </si>
  <si>
    <t xml:space="preserve"> 98307</t>
  </si>
  <si>
    <t xml:space="preserve">98308 </t>
  </si>
  <si>
    <t xml:space="preserve"> TOMADA PARA TELEFONE RJ11 </t>
  </si>
  <si>
    <t>TUBO EM COBRE FLEXÍVEL, DN 1/2", COM ISOLAMENTO, INSTALADO EM RAMAL DE  ALIMENTAÇÃO DE AR CONDICIONADO COM CONDENSADORA CENTRAL  FORNECIMENTO E INSTALAÇÃO. AF_12/2015</t>
  </si>
  <si>
    <t>Ar Condicionado Split 18.000 Btus Quente/Frio Springer Midea</t>
  </si>
  <si>
    <t>Ar Condicionado Split 9000 Btus Frio - Electrolux - 220V</t>
  </si>
  <si>
    <t xml:space="preserve">Ar Condicionado Split 9000 Btus </t>
  </si>
  <si>
    <t>Ar Condicionado Split 18.000 Btus</t>
  </si>
  <si>
    <t>12816/ORSE - Placa cimentícia e =10mm, para fechamento da fachada (1 lado/face), juntas aparentes, fixada em estrutura metalica, exclusive esta (fornecimento e assentamento)</t>
  </si>
  <si>
    <t>12816/ORSE	Placa cimentícia e =10mm, para fechamento da fachada (1 lado/face), juntas aparentes, fixada em estrutura metalica, exclusive esta (fornecimento e assentamento)</t>
  </si>
  <si>
    <t xml:space="preserve"> APLICAÇÃO MANUAL DE TINTA LÁTEX ACRÍLICA</t>
  </si>
  <si>
    <t xml:space="preserve">95622  </t>
  </si>
  <si>
    <t>P01 - Porta de correr interna - Madeira  80x210 (com instalação)</t>
  </si>
  <si>
    <t>P04 - Porta de Giro externa - Madeira 80x210 (com instalação)</t>
  </si>
  <si>
    <t xml:space="preserve">Balaroti </t>
  </si>
  <si>
    <t>Porcelanato Polido Delta Asti Marmo "A" 70x70 Retificado</t>
  </si>
  <si>
    <t>007</t>
  </si>
  <si>
    <t>Porcelanato "A" 70x70 Rústico Retificado Tijuca Dark Out Delta</t>
  </si>
  <si>
    <t>008</t>
  </si>
  <si>
    <t>Porcelanato Polido Delta Bianco "A" 52x52 Retificado - Linha Varietá</t>
  </si>
  <si>
    <t>Porcelanato "A" 70x70 Acetinado Retificado Maipo Delta</t>
  </si>
  <si>
    <t>Porcelanato "A" 62,5x62,5 Acetinado Retificado Classic White Elizabeth</t>
  </si>
  <si>
    <t>Porcelanato  "A" 70x70 Acetinado Retificado Santorine Delta</t>
  </si>
  <si>
    <t>Mig soluções contra incêndio</t>
  </si>
  <si>
    <t>PLACA FOTOLUMINESCENTE SAÍDA DE EMERGÊNCIA CIMA/DIREITA/ESQUERDA 25X16</t>
  </si>
  <si>
    <t>Isinaliza</t>
  </si>
  <si>
    <t>PLACA FOTOLUMINESCENTE SAÍDA DE EMERGÊNCIA  25X16</t>
  </si>
  <si>
    <t>08751/ORSE- Extintor de pó químico seco (PQS), capacidade 12 kg</t>
  </si>
  <si>
    <t>Placa de sinalização extintor de incêndio 25x16</t>
  </si>
  <si>
    <t>PLACA EXTINTOR DE INCÊNDIO FOTOLUMINESCENTE 25x16</t>
  </si>
  <si>
    <t>Allbanho</t>
  </si>
  <si>
    <t>Torneira Lavatório Incepa Waterpress de Mesa Bica Baixa Cromado</t>
  </si>
  <si>
    <t>Torneira Lavatório Incepa Waterpress de Mesa Bica Baixa Cromado  ou similar</t>
  </si>
  <si>
    <t xml:space="preserve">11471/ORSE	Assentamento de torneira	</t>
  </si>
  <si>
    <t>11471/ORSE-Assentamento de torneira</t>
  </si>
  <si>
    <t>h</t>
  </si>
  <si>
    <t>TORNEIRA CROMADA TUBO MÓVEL, DE MESA, 1/2 OU 3/4, PARA PIA DE COZINHA</t>
  </si>
  <si>
    <t xml:space="preserve"> 86909</t>
  </si>
  <si>
    <t>12208/ORSE-Porta papel toalha para papel interfolha 2 ou 3 dobras, injetado com a frente em plástico ABS branco, com visor frontal para controle de substituição do papel interfolha e fundo em Plástico ABS cinza.</t>
  </si>
  <si>
    <t xml:space="preserve">SABONETEIRA PLASTICA TIPO DISPENSER PARA SABONETE LIQUIDO </t>
  </si>
  <si>
    <t xml:space="preserve"> 95547</t>
  </si>
  <si>
    <t xml:space="preserve">Dispenser de Papel Toalha Velox Branco Premisse ou similar </t>
  </si>
  <si>
    <t xml:space="preserve">Dispenser Porta Papel Higiênico Rolão Premisse Velox ou similar </t>
  </si>
  <si>
    <t>TANQUE DE MÁRMORE SINTÉTICO COM COLUNA</t>
  </si>
  <si>
    <t xml:space="preserve">  86925 </t>
  </si>
  <si>
    <t xml:space="preserve">PUXADOR PARA PCD, FIXADO NA PORTA </t>
  </si>
  <si>
    <t xml:space="preserve"> 100874</t>
  </si>
  <si>
    <t>REGISTRO DE GAVETA BRUTO, LATÃO, ROSCÁVEL, 3/4", COM ACABAMENTO E CANOPLA CROMADOS</t>
  </si>
  <si>
    <t xml:space="preserve"> 89987</t>
  </si>
  <si>
    <t xml:space="preserve">TORNEIRA CROMADA 1/2 OU 3/4 PARA TANQUE, PADRÃO MÉDIO </t>
  </si>
  <si>
    <t>86914</t>
  </si>
  <si>
    <t xml:space="preserve"> 98558     </t>
  </si>
  <si>
    <t xml:space="preserve">TRATAMENTO DE RALO OU PONTO EMERGENTE COM ARGAMASSA POLIMÉRICA / MEMBRANA ACRÍLICA REFORÇADO COM VÉU DE POLIÉSTER (MAV). AF_06/2018
 </t>
  </si>
  <si>
    <t xml:space="preserve"> 83479</t>
  </si>
  <si>
    <t>Assentamento revestimento porcelanato</t>
  </si>
  <si>
    <t>Assentamento Revestimentos</t>
  </si>
  <si>
    <t xml:space="preserve">REJUNTE COLORIDO, CIMENTICIO </t>
  </si>
  <si>
    <t xml:space="preserve">ARGAMASSA COLANTE TIPO ACIII </t>
  </si>
  <si>
    <t xml:space="preserve"> 37595</t>
  </si>
  <si>
    <t>34357</t>
  </si>
  <si>
    <t xml:space="preserve">AZULEJISTA OU LADRILHISTA COM ENCARGOS COMPLEMENTARES   </t>
  </si>
  <si>
    <t>88256</t>
  </si>
  <si>
    <t xml:space="preserve"> SERVENTE COM ENCARGOS COMPLEMENTARES   </t>
  </si>
  <si>
    <t>88316</t>
  </si>
  <si>
    <t>CABO DE COBRE FLEXÍVEL ISOLADO, 6 MM²</t>
  </si>
  <si>
    <t>Janela Maxiar 2F de alumínio e vidro mini-boreal 100x60 (com instalação)</t>
  </si>
  <si>
    <t>Janela Fixa de alumínio e vidro temperado 150x150 (com instalação)</t>
  </si>
  <si>
    <t>Fenster Haus</t>
  </si>
  <si>
    <t>MENOR</t>
  </si>
  <si>
    <t xml:space="preserve">Americanas </t>
  </si>
  <si>
    <t>Iluminim</t>
  </si>
  <si>
    <t>Embralumi</t>
  </si>
  <si>
    <t>Eletrorastro</t>
  </si>
  <si>
    <t>Pontofrio.com</t>
  </si>
  <si>
    <t>Rocha Esquadrias</t>
  </si>
  <si>
    <t>um</t>
  </si>
  <si>
    <t xml:space="preserve">                                    Obra: IPRECAL - Projeto Sede </t>
  </si>
  <si>
    <t>PLANILHA ORÇAMENTÁRIA DE REFERÊNCIA</t>
  </si>
  <si>
    <t xml:space="preserve">                                                                   Obra: IPRECAL - Projeto Sede </t>
  </si>
  <si>
    <t xml:space="preserve">COMPOSIÇÕES </t>
  </si>
  <si>
    <t xml:space="preserve">RELE FOTOELETRICO P/ COMANDO DE ILUMINACAO EXTERNA </t>
  </si>
  <si>
    <t xml:space="preserve"> 83399 </t>
  </si>
  <si>
    <t>11265/ORSE - Curva 45° para eletroduto de pvc rígido roscável, diâm = 50mm (1 1/2")</t>
  </si>
  <si>
    <t>11265/ORSE	Curva 45° para eletroduto de pvc rígido roscável, diâm = 50mm (1 1/2")</t>
  </si>
  <si>
    <t>7.9</t>
  </si>
  <si>
    <t>SISTEMA DE ENERGIA SOLAR</t>
  </si>
  <si>
    <t>MICROINVERSOR QS1-BR 220V</t>
  </si>
  <si>
    <t>Micro Inversor Apsystems Qs1 1200w/220v C/ Cabo Tronco</t>
  </si>
  <si>
    <t>Casa do Microinversor</t>
  </si>
  <si>
    <t>Minha Casa Solar</t>
  </si>
  <si>
    <t>PAINÉIS SOLARES DHP72 330W</t>
  </si>
  <si>
    <t>Energia Livre</t>
  </si>
  <si>
    <t>PAINÉIS SOLARES DHP72 330W - POLICRISTALINO 72 CÉLULAS</t>
  </si>
  <si>
    <t>ESTRUTURA DE FIXAÇÃO</t>
  </si>
  <si>
    <t>ESTRUTURA DE FIXAÇÃO PAINÉIS SOLARES</t>
  </si>
  <si>
    <t>eztechs</t>
  </si>
  <si>
    <t>STRINGBOX  20A DPS</t>
  </si>
  <si>
    <t>Portal Solar</t>
  </si>
  <si>
    <t>INSTALAÇÃO DO SISTEMA E PLACAS</t>
  </si>
  <si>
    <t>INSTALAÇÃO DO SISTEMA</t>
  </si>
  <si>
    <t>STRINGBOX ABS IP66 PROTEÇÃO CC E SURTO DPS FUSÍVEL</t>
  </si>
  <si>
    <t>MS Energia Solar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</si>
  <si>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</si>
  <si>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</si>
  <si>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</si>
  <si>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</si>
  <si>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</si>
  <si>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</si>
  <si>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</si>
  <si>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</si>
  <si>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</si>
  <si>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2.2.2</t>
  </si>
  <si>
    <t>2.2.3</t>
  </si>
  <si>
    <t>2.2.4</t>
  </si>
  <si>
    <t>2.2.5</t>
  </si>
  <si>
    <t>2.3.1</t>
  </si>
  <si>
    <t>2.3.2</t>
  </si>
  <si>
    <t>2.3.6</t>
  </si>
  <si>
    <t>2.3.7</t>
  </si>
  <si>
    <t>2.3.8</t>
  </si>
  <si>
    <t>2.3.9</t>
  </si>
  <si>
    <t>2.3.10</t>
  </si>
  <si>
    <t>2.3.11</t>
  </si>
  <si>
    <t>2.3.12</t>
  </si>
  <si>
    <t>3.1.1</t>
  </si>
  <si>
    <t>3.1.2</t>
  </si>
  <si>
    <t>3.1.3</t>
  </si>
  <si>
    <t>3.1.4</t>
  </si>
  <si>
    <t>3.1.5</t>
  </si>
  <si>
    <t>3.2.1</t>
  </si>
  <si>
    <t>3.2.2</t>
  </si>
  <si>
    <t>3.2.3</t>
  </si>
  <si>
    <t>3.2.4</t>
  </si>
  <si>
    <t>3.2.6</t>
  </si>
  <si>
    <t>3.3.1</t>
  </si>
  <si>
    <t>3.3.2</t>
  </si>
  <si>
    <t>3.3.3</t>
  </si>
  <si>
    <t>3.4.1</t>
  </si>
  <si>
    <t>3.4.2</t>
  </si>
  <si>
    <t>3.4.3</t>
  </si>
  <si>
    <t>3.5.1</t>
  </si>
  <si>
    <t>3.5.2</t>
  </si>
  <si>
    <t>3.5.3</t>
  </si>
  <si>
    <t>3.5.4</t>
  </si>
  <si>
    <t>3.5.5</t>
  </si>
  <si>
    <t>3.5.6</t>
  </si>
  <si>
    <t>4.1</t>
  </si>
  <si>
    <t>5.3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</si>
  <si>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</si>
  <si>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</si>
  <si>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</si>
  <si>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</si>
  <si>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</si>
  <si>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</si>
  <si>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</si>
  <si>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</si>
  <si>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</si>
  <si>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</si>
  <si>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</si>
  <si>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</si>
  <si>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</si>
  <si>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</si>
  <si>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</si>
  <si>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</si>
  <si>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</si>
  <si>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</si>
  <si>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</si>
  <si>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</si>
  <si>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</si>
  <si>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</si>
  <si>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</si>
  <si>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</si>
  <si>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</si>
  <si>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</si>
  <si>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</si>
  <si>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</si>
  <si>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</si>
  <si>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</si>
  <si>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</si>
  <si>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</si>
  <si>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</si>
  <si>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</si>
  <si>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6.3.16</t>
  </si>
  <si>
    <t>6.3.17</t>
  </si>
  <si>
    <t>6.3.18</t>
  </si>
  <si>
    <t>6.3.19</t>
  </si>
  <si>
    <t>6.3.20</t>
  </si>
  <si>
    <t>6.3.21</t>
  </si>
  <si>
    <t>6.3.22</t>
  </si>
  <si>
    <t>6.4.1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</si>
  <si>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</si>
  <si>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</si>
  <si>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</si>
  <si>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</si>
  <si>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</si>
  <si>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</si>
  <si>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</si>
  <si>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</si>
  <si>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6.6.1</t>
  </si>
  <si>
    <t>6.7.1</t>
  </si>
  <si>
    <t>6.8.1</t>
  </si>
  <si>
    <t>6.8.2</t>
  </si>
  <si>
    <t>6.8.3</t>
  </si>
  <si>
    <t>6.9.1</t>
  </si>
  <si>
    <t>6.9.2</t>
  </si>
  <si>
    <t>6.9.3</t>
  </si>
  <si>
    <t>6.9.4</t>
  </si>
  <si>
    <t>6.9.5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</si>
  <si>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</si>
  <si>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</si>
  <si>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</si>
  <si>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</si>
  <si>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</si>
  <si>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</si>
  <si>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</si>
  <si>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</si>
  <si>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6.10.9</t>
  </si>
  <si>
    <t>6.10.10</t>
  </si>
  <si>
    <t>6.10.11</t>
  </si>
  <si>
    <t>6.10.12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</si>
  <si>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</si>
  <si>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</si>
  <si>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</si>
  <si>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</si>
  <si>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</si>
  <si>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</si>
  <si>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</si>
  <si>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</si>
  <si>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</si>
  <si>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</si>
  <si>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</si>
  <si>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</si>
  <si>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</si>
  <si>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</si>
  <si>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</si>
  <si>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7.3.1</t>
  </si>
  <si>
    <t>7.3.2</t>
  </si>
  <si>
    <t>7.3.3</t>
  </si>
  <si>
    <t>7.3.4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</si>
  <si>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</si>
  <si>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</si>
  <si>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</si>
  <si>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</si>
  <si>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</si>
  <si>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</si>
  <si>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</si>
  <si>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</si>
  <si>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</si>
  <si>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</si>
  <si>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7.4.11</t>
  </si>
  <si>
    <t>7.4.13</t>
  </si>
  <si>
    <t>7.4.14</t>
  </si>
  <si>
    <t>7.4.15</t>
  </si>
  <si>
    <t>7.4.16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</si>
  <si>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</si>
  <si>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</si>
  <si>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</si>
  <si>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</si>
  <si>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</si>
  <si>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</si>
  <si>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</si>
  <si>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</si>
  <si>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</si>
  <si>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</si>
  <si>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</si>
  <si>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</si>
  <si>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</si>
  <si>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</si>
  <si>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</si>
  <si>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</si>
  <si>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</si>
  <si>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</si>
  <si>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</si>
  <si>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</si>
  <si>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</si>
  <si>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</si>
  <si>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</si>
  <si>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</si>
  <si>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</si>
  <si>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</si>
  <si>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7.9.1</t>
  </si>
  <si>
    <t>7.9.2</t>
  </si>
  <si>
    <t>7.9.3</t>
  </si>
  <si>
    <t>7.9.4</t>
  </si>
  <si>
    <t>7.9.5</t>
  </si>
  <si>
    <t>7.9.6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</si>
  <si>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</si>
  <si>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</si>
  <si>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</si>
  <si>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</si>
  <si>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</si>
  <si>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</si>
  <si>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</si>
  <si>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</si>
  <si>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</si>
  <si>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8.3.1</t>
  </si>
  <si>
    <t>8.3.2</t>
  </si>
  <si>
    <t>8.3.3</t>
  </si>
  <si>
    <t>8.3.4</t>
  </si>
  <si>
    <t>8.3.5</t>
  </si>
  <si>
    <t>8.3.6</t>
  </si>
  <si>
    <t>8.3.7</t>
  </si>
  <si>
    <t>8.3 .1</t>
  </si>
  <si>
    <t>8.4.1</t>
  </si>
  <si>
    <t>9.1.1</t>
  </si>
  <si>
    <t>9.1.2</t>
  </si>
  <si>
    <t>9.1.3</t>
  </si>
  <si>
    <t>9.1.4</t>
  </si>
  <si>
    <t>9.1.5</t>
  </si>
  <si>
    <t>9.2.1</t>
  </si>
  <si>
    <t>9.2.2</t>
  </si>
  <si>
    <t>9.2.3</t>
  </si>
  <si>
    <t>9.2.4</t>
  </si>
  <si>
    <t>9.2.5</t>
  </si>
  <si>
    <t>9.3.4</t>
  </si>
  <si>
    <t>9.3.5</t>
  </si>
  <si>
    <t>9.3.8</t>
  </si>
  <si>
    <t>9.3.9</t>
  </si>
  <si>
    <t>9.3.11</t>
  </si>
  <si>
    <t>10.1.1</t>
  </si>
  <si>
    <t>10.1.2</t>
  </si>
  <si>
    <t>10.2.1</t>
  </si>
  <si>
    <t>10.2.4</t>
  </si>
  <si>
    <t>10.2.5</t>
  </si>
  <si>
    <t>10.2.6</t>
  </si>
  <si>
    <t>14.1</t>
  </si>
  <si>
    <t>14.2</t>
  </si>
  <si>
    <t>14.3</t>
  </si>
  <si>
    <t>CRONOGRAMA FÍSICO FINANCEIRO</t>
  </si>
  <si>
    <t>30 DIAS</t>
  </si>
  <si>
    <t>60 DIAS</t>
  </si>
  <si>
    <t>90 DIAS</t>
  </si>
  <si>
    <t>120 DIAS</t>
  </si>
  <si>
    <t>150 DIAS</t>
  </si>
  <si>
    <t/>
  </si>
  <si>
    <t>LOUÇAS E METAIS</t>
  </si>
  <si>
    <t>ESQUADRIA</t>
  </si>
  <si>
    <t>PERCENTUAL</t>
  </si>
  <si>
    <t>TOTAL ACUMULADO</t>
  </si>
  <si>
    <t>TOTAL MENSAL</t>
  </si>
  <si>
    <t>PERCENTUAL MENSAL</t>
  </si>
  <si>
    <t>PERCENTUAL ACUMULADO</t>
  </si>
  <si>
    <t>Profissional responsável pelo calculo do cronograma</t>
  </si>
  <si>
    <t>Valores de acordo com o orçamento referencial</t>
  </si>
  <si>
    <t>96557</t>
  </si>
  <si>
    <t>92433</t>
  </si>
  <si>
    <t>87479</t>
  </si>
  <si>
    <t>98504</t>
  </si>
  <si>
    <t>Preço base: SINAPI abril/2020 SEM desoneração</t>
  </si>
  <si>
    <t>1.2.3</t>
  </si>
  <si>
    <t>1.2.4</t>
  </si>
  <si>
    <t>1.2.5</t>
  </si>
  <si>
    <t>MONTAGEM E DESMONTAGEM DE FÔRMA DE VIGA, ESCORAMENTO COM GARFO DE MADEIRA, PÉ-DIREITO DUPLO, EM CHAPA DE MADEIRA RESINADA, 6 UTILIZAÇÕES. AF_12/2015</t>
  </si>
  <si>
    <t>92457</t>
  </si>
  <si>
    <t>95942</t>
  </si>
  <si>
    <t xml:space="preserve">Cap 50mm </t>
  </si>
  <si>
    <t xml:space="preserve">Cap 75mm </t>
  </si>
  <si>
    <t xml:space="preserve">Joelho 45º 75mm </t>
  </si>
  <si>
    <t>CAP DE PVC 50MM</t>
  </si>
  <si>
    <t>CAP DE PVC 75MM</t>
  </si>
  <si>
    <t>CAP DE PVC 100MM</t>
  </si>
  <si>
    <t>89806</t>
  </si>
  <si>
    <t xml:space="preserve"> 89699 </t>
  </si>
  <si>
    <t>CALHA EM CHAPA DE AÇO GALVANIZADO NÚMERO 24, DESENVOLVIMENTO DE 33 CM,  INCLUSO TRANSPORTE VERTICAL. AF_07/2019</t>
  </si>
  <si>
    <t>94227</t>
  </si>
  <si>
    <t>34640</t>
  </si>
  <si>
    <t>SINAPI I</t>
  </si>
  <si>
    <t>89865</t>
  </si>
  <si>
    <t xml:space="preserve"> TUBO, PVC, SOLDÁVEL, DN 25MM, INSTALADO EM DRENO DE AR-CONDICIONADO - FORNECIMENTO E INSTALAÇÃO. AF_12/2014</t>
  </si>
  <si>
    <t>6.8.4</t>
  </si>
  <si>
    <t>91785</t>
  </si>
  <si>
    <t>TUBOS DE PVC,SOLDÁVEL, ÁGUA FRIA, DN 25 MM (INSTALADO EM RAMAL, SUB-RAMAL, RAMAL DE  DISTRIBUIÇÃO OU PRUMADA), INCLUSIVE CONEXÕES, CORTES E FIXAÇÕES, PARA  PRÉDIOS. AF_10/2015</t>
  </si>
  <si>
    <t xml:space="preserve"> TUBOS DE PVC, SOLDÁVEL, ÁGUA FRIA, DN 32 MM (INSTALADO EM RAMAL, SUB-RAMAL, RAMAL DE DISTRIBUIÇÃO OU PRUMADA), INCLUSIVE CONEXÕES, CORTES E FIXAÇÕES, PARA PRÉDIOS. AF_10/2015</t>
  </si>
  <si>
    <t>TUBOS DE PVC,  SOLDÁVEL, ÁGUA FRIA, DN 40 MM (INSTALADO EM PRUMADA), INCLUSIVE CONEXÕES, CORTES E FIXAÇÕES, PARA PRÉDIOS. AF_10/2015</t>
  </si>
  <si>
    <t xml:space="preserve"> 91786</t>
  </si>
  <si>
    <t xml:space="preserve">  91787</t>
  </si>
  <si>
    <t xml:space="preserve">74131/004 </t>
  </si>
  <si>
    <t>QUADRO DE DISTRIBUICAO DE ENERGIA DE EMBUTIR, EM CHAPA METALICA, PARA 18 DISJUNTORES TERMOMAGNETICOS MONOPOLARES, COM BARRAMENTO TRIFASICO E  NEUTRO, FORNECIMENTO E INSTALACAO</t>
  </si>
  <si>
    <t xml:space="preserve"> 74130/006 </t>
  </si>
  <si>
    <t>DISJUNTOR TERMOMAGNETICO TRIPOLAR PADRAO NEMA (AMERICANO) 125 A 150A 240V, FORNECIMENTO E INSTALACAO</t>
  </si>
  <si>
    <t xml:space="preserve"> DISJUNTOR TERMOMAGNETICO TRIPOLAR PADRAO NEMA (AMERICANO) 60 A 100A 240V, FORNECIMENTO E INSTALACAO</t>
  </si>
  <si>
    <t>DISJUNTOR TERMOMAGNETICO TRIPOLAR PADRAO NEMA (AMERICANO) 10 A 50A 240V, FORNECIMENTO E INSTALACAO</t>
  </si>
  <si>
    <t>74130/004</t>
  </si>
  <si>
    <t>74130/005</t>
  </si>
  <si>
    <t xml:space="preserve">DISJUNTOR BIPOLAR TIPO DIN, CORRENTE NOMINAL DE 20A </t>
  </si>
  <si>
    <t xml:space="preserve"> 93662</t>
  </si>
  <si>
    <t xml:space="preserve">DISJUNTOR BIPOLAR TIPO DIN, CORRENTE NOMINAL DE 25A </t>
  </si>
  <si>
    <t xml:space="preserve">  93663</t>
  </si>
  <si>
    <t>08077/ORSE- Disjuntor bipolar DR 20 A - Dispositivo residual diferencial, tipo AC, 30MA, ref.5SM1 314-OMB, Siemens ou similar</t>
  </si>
  <si>
    <t>08194/ORSE- Disjuntor bipolar  DR 32A - Dispositivo residual diferencial, tipo AC, 30MA, Siemens ou similar</t>
  </si>
  <si>
    <t>08285/ORSE	Disjuntor bipolar DR 32A - Dispositivo residual diferencial, tipo AC, 30MA, Siemens ou similar</t>
  </si>
  <si>
    <t>03618/ORSE- Disjuntor bipolar DR 20 A - Dispositivo residual diferencial, tipo AC, 30MA, ref.5SM1 314-OMB, Siemens ou similar</t>
  </si>
  <si>
    <t>CABO DE COBRE FLEXÍVEL ISOLADO, 4 MM²</t>
  </si>
  <si>
    <t>CABO DE COBRE FLEXÍVEL ISOLADO, 16 MM²</t>
  </si>
  <si>
    <t xml:space="preserve">91928 </t>
  </si>
  <si>
    <t>92982</t>
  </si>
  <si>
    <t>7.3.5</t>
  </si>
  <si>
    <t>91856</t>
  </si>
  <si>
    <t xml:space="preserve"> 93020</t>
  </si>
  <si>
    <t>91941</t>
  </si>
  <si>
    <t>91955</t>
  </si>
  <si>
    <t>Interruptor de 1 tecla PARALELO (incluindo suporte e placa)</t>
  </si>
  <si>
    <t>91960</t>
  </si>
  <si>
    <t>Interruptor de 2 teclas PARALELO (incluindo suporte e placa)</t>
  </si>
  <si>
    <t xml:space="preserve"> LUMINÁRIA TIPO CALHA, DE EMBUTIR, COM 2 LÂMPADAS FLUORESCENTES DE 14 W  LUMINÁRIA TIPO CALHA, DE EMBUTIR, COM 2 LÂMPADAS FLUORESCENTES DE 14 W </t>
  </si>
  <si>
    <t xml:space="preserve"> 97587 </t>
  </si>
  <si>
    <t>Placa LED embutir 22x22 18w</t>
  </si>
  <si>
    <t>Placa LED sobrepor 22x22 18w</t>
  </si>
  <si>
    <t>Placa LED sobrepor 30x30 24w</t>
  </si>
  <si>
    <t>Placa LED embutir 30x3024w</t>
  </si>
  <si>
    <t>Arandela embutir 3w</t>
  </si>
  <si>
    <t xml:space="preserve">97607 </t>
  </si>
  <si>
    <t>Arandela de sobrepor</t>
  </si>
  <si>
    <t>7.6.10</t>
  </si>
  <si>
    <t xml:space="preserve"> QUADRO DE DISTRIBUICAO PARA TELEFONE , 20X20X12CM </t>
  </si>
  <si>
    <t xml:space="preserve">100560 </t>
  </si>
  <si>
    <t xml:space="preserve"> CABO TELEFÔNICO CI-50 6 PARES INSTALADO EM DISTRIBUIÇÃO DE EDIFICAÇÃO INSTITUCIONAL</t>
  </si>
  <si>
    <t>98292</t>
  </si>
  <si>
    <t xml:space="preserve"> CABO ELETRÔNICO CATEGORIA 6, INSTALADO EM EDIFICAÇÃO INSTITUCIONAL </t>
  </si>
  <si>
    <t>98297</t>
  </si>
  <si>
    <t>Acabamentos de concreto (cornijas, detalhes)</t>
  </si>
  <si>
    <t xml:space="preserve"> EXECUÇÃO DE VIA EM PISO INTERTRAVADO, COM BLOCO RETANGULAR COR NATURAL  M2  DE 20 X 10 CM, ESPESSURA 8 CM. AF_12/2015</t>
  </si>
  <si>
    <t>92399</t>
  </si>
  <si>
    <t>92391</t>
  </si>
  <si>
    <t>Porcelanato "A" 70X70 rústico retificado tijuca dark out delta ou similar</t>
  </si>
  <si>
    <t>12024/ORSE Forro acústico em placas de fibra mineral - Estrutura perfil branco</t>
  </si>
  <si>
    <t>8.3 .2</t>
  </si>
  <si>
    <t>12024/ORSE Forro modular - Forro acústico em placas de fibra mineral - 62,5 x 62,5 - Estrutura perfil branco</t>
  </si>
  <si>
    <t>P02 /03- Porta de Giro Interna - Madeira - 80x210 (com instalação)</t>
  </si>
  <si>
    <t xml:space="preserve">Fechadura </t>
  </si>
  <si>
    <t>Porta de Giro 2F externa - Madeira 180x280</t>
  </si>
  <si>
    <t>P05 - Porta de Giro 2F externa - Madeira 180x280 (com instalação)</t>
  </si>
  <si>
    <t>J02-03 - Janela Maxiar 2F de alumínio e vidro mini-boreal 100x60 (com instalação)</t>
  </si>
  <si>
    <t>J01 - Janela Maxiar 2F de alumínio e vidro mini-boreal 80x60 (com instalação)</t>
  </si>
  <si>
    <t>J05 - Janela Fixa de alumínio e vidro temperado 150x150 (com instalação)</t>
  </si>
  <si>
    <t>J04 - Janela Fixa de alumínio e vidro temperado 140x150 (com instalação)</t>
  </si>
  <si>
    <t>J06 - Janela Maxiar 2F de alumínio e vidro temperado 200x250 (com instalação)</t>
  </si>
  <si>
    <t>Janela Maxiar 2F de alumínio e vidro mini-boreal 80x60 (com instalação)</t>
  </si>
  <si>
    <t>Janela Fixa de alumínio e vidro temperado 140x150 (com instalação)</t>
  </si>
  <si>
    <t>J11 - Janela Maxiar 2F de pvc e vidro temperado 200x250</t>
  </si>
  <si>
    <t xml:space="preserve">Bancada 170x60cm acabamento saia com 4 cm e régua c/ 10 cm de altura e cuba embutida  </t>
  </si>
  <si>
    <t xml:space="preserve">Bancada 150x50cm acabamento saia com 6 cm e régua c/ 10 cm de altura e cuba embutida </t>
  </si>
  <si>
    <t xml:space="preserve">Bancada 100x50cm acabamento saia com 6 cm e régua c/ 10 cm de altura e cuba embutida  </t>
  </si>
  <si>
    <t xml:space="preserve">Bancada 157x50cm acabamento saia com 6 cm e régua c/ 10 cm de altura e cuba embutida </t>
  </si>
  <si>
    <t>98503</t>
  </si>
  <si>
    <t xml:space="preserve">PLANTIO DE GRAMA EM PAVIMENTO CONCREGRAMA. AF_05/2018 </t>
  </si>
  <si>
    <t>PLANTIO DE GRAMA EM PLACAS (Grama Esmeralda)</t>
  </si>
  <si>
    <t>QUADRO DE MEDIÇÃO BIDIRECIONAL TRIFÁSICO</t>
  </si>
  <si>
    <t xml:space="preserve">
VASO SANITÁRIO SIFONADO COM CAIXA ACOPLADA LOUÇA BRANCA</t>
  </si>
  <si>
    <t xml:space="preserve">   86931</t>
  </si>
  <si>
    <t>Porcelanato  "A" 70X70 polido retificado - ref. Asti marmo delta ou similar</t>
  </si>
  <si>
    <t>Porcenalato "A" 52X52 polido retificado - ref. Bianco delta ou similar</t>
  </si>
  <si>
    <t>Rodapé 10cm interno</t>
  </si>
  <si>
    <t xml:space="preserve">  73850/00</t>
  </si>
  <si>
    <t>Rodapé 10cm concreto externo</t>
  </si>
  <si>
    <t xml:space="preserve">INSTALAÇÃO DE TESOURA (INTEIRA OU MEIA), EM AÇO, PARA VÃOS MAIORES OU  IGUAIS A 10,0 M E MENORES QUE 12,0 M, INCLUSO IÇAMENTO. AF_07/2019
 </t>
  </si>
  <si>
    <t>92258</t>
  </si>
  <si>
    <t>COMP002</t>
  </si>
  <si>
    <t>9416/ORSE nstalação provisória de energia elétrica, aerea, trifasica, em poste galvanizado, exclusive fornecimento do medidor</t>
  </si>
  <si>
    <t>ORSE/9164 Locação topográfica com nivelamento de seções transversais de serviços de terraplenagem, inclusive conferências</t>
  </si>
  <si>
    <t>13.2</t>
  </si>
  <si>
    <t>13.3</t>
  </si>
  <si>
    <t>Campo Alegre/SC 30/05/2020</t>
  </si>
  <si>
    <t>P06 - Porta de Giro 2F - Alumínio 160x250 (com instalação)</t>
  </si>
  <si>
    <t>Porta de giro 2F externa - aluminio 160x250</t>
  </si>
  <si>
    <t>8.1.9</t>
  </si>
  <si>
    <t>8.1.10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</si>
</sst>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;[Red]#,##0.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0"/>
      <name val="Arial1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51"/>
      <name val="Calibri"/>
      <family val="2"/>
    </font>
    <font>
      <sz val="8"/>
      <color indexed="8"/>
      <name val="Calibri"/>
      <family val="2"/>
    </font>
    <font>
      <sz val="8"/>
      <color indexed="51"/>
      <name val="Calibri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i/>
      <sz val="8"/>
      <color indexed="3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1"/>
      <color theme="0"/>
      <name val="Calibri"/>
      <family val="2"/>
    </font>
    <font>
      <sz val="8"/>
      <color theme="0"/>
      <name val="Calibri"/>
      <family val="2"/>
    </font>
    <font>
      <b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1"/>
      <name val="Arial"/>
      <family val="2"/>
    </font>
    <font>
      <b/>
      <sz val="12"/>
      <name val="Arial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theme="3"/>
      <name val="Arial"/>
      <family val="2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165" fontId="5" fillId="0" borderId="0" applyBorder="0" applyProtection="0"/>
    <xf numFmtId="0" fontId="7" fillId="0" borderId="0" applyNumberFormat="0" applyBorder="0" applyProtection="0"/>
    <xf numFmtId="0" fontId="8" fillId="0" borderId="0"/>
    <xf numFmtId="0" fontId="1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13" applyNumberFormat="0" applyAlignment="0" applyProtection="0"/>
    <xf numFmtId="0" fontId="21" fillId="10" borderId="14" applyNumberFormat="0" applyAlignment="0" applyProtection="0"/>
    <xf numFmtId="0" fontId="22" fillId="10" borderId="13" applyNumberFormat="0" applyAlignment="0" applyProtection="0"/>
    <xf numFmtId="0" fontId="23" fillId="0" borderId="15" applyNumberFormat="0" applyFill="0" applyAlignment="0" applyProtection="0"/>
    <xf numFmtId="0" fontId="24" fillId="11" borderId="16" applyNumberFormat="0" applyAlignment="0" applyProtection="0"/>
    <xf numFmtId="0" fontId="10" fillId="0" borderId="0" applyNumberFormat="0" applyFill="0" applyBorder="0" applyAlignment="0" applyProtection="0"/>
    <xf numFmtId="0" fontId="1" fillId="12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629">
    <xf numFmtId="0" fontId="0" fillId="0" borderId="0" xfId="0"/>
    <xf numFmtId="0" fontId="2" fillId="0" borderId="0" xfId="3" applyFont="1" applyFill="1" applyAlignment="1">
      <alignment vertical="center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Fill="1" applyBorder="1" applyAlignment="1">
      <alignment horizontal="left" vertical="center"/>
    </xf>
    <xf numFmtId="0" fontId="3" fillId="0" borderId="0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/>
    </xf>
    <xf numFmtId="0" fontId="2" fillId="0" borderId="0" xfId="3" applyFont="1" applyFill="1" applyAlignment="1">
      <alignment horizontal="left" vertical="center"/>
    </xf>
    <xf numFmtId="0" fontId="3" fillId="0" borderId="1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left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/>
    </xf>
    <xf numFmtId="164" fontId="2" fillId="0" borderId="1" xfId="4" applyFont="1" applyFill="1" applyBorder="1" applyAlignment="1">
      <alignment horizontal="right" vertical="center"/>
    </xf>
    <xf numFmtId="44" fontId="2" fillId="0" borderId="1" xfId="1" applyFont="1" applyFill="1" applyBorder="1" applyAlignment="1">
      <alignment horizontal="right" vertical="center"/>
    </xf>
    <xf numFmtId="0" fontId="2" fillId="0" borderId="1" xfId="3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Alignment="1">
      <alignment vertical="center"/>
    </xf>
    <xf numFmtId="0" fontId="2" fillId="0" borderId="1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horizontal="center"/>
    </xf>
    <xf numFmtId="0" fontId="3" fillId="4" borderId="1" xfId="3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3" applyFont="1" applyFill="1" applyBorder="1" applyAlignment="1">
      <alignment vertical="center" wrapText="1"/>
    </xf>
    <xf numFmtId="44" fontId="3" fillId="0" borderId="0" xfId="1" applyFont="1" applyFill="1" applyBorder="1" applyAlignment="1">
      <alignment horizontal="right" vertical="center" wrapText="1"/>
    </xf>
    <xf numFmtId="0" fontId="3" fillId="5" borderId="1" xfId="3" applyFont="1" applyFill="1" applyBorder="1" applyAlignment="1">
      <alignment horizontal="center" vertical="center"/>
    </xf>
    <xf numFmtId="0" fontId="2" fillId="5" borderId="1" xfId="3" applyFont="1" applyFill="1" applyBorder="1" applyAlignment="1">
      <alignment horizontal="center" vertical="center"/>
    </xf>
    <xf numFmtId="0" fontId="2" fillId="5" borderId="0" xfId="3" applyFont="1" applyFill="1" applyAlignment="1">
      <alignment vertical="center"/>
    </xf>
    <xf numFmtId="0" fontId="2" fillId="5" borderId="1" xfId="3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right" vertical="center"/>
    </xf>
    <xf numFmtId="0" fontId="2" fillId="5" borderId="1" xfId="3" applyFont="1" applyFill="1" applyBorder="1" applyAlignment="1">
      <alignment horizontal="center" vertical="center" wrapText="1"/>
    </xf>
    <xf numFmtId="0" fontId="11" fillId="0" borderId="9" xfId="0" applyFont="1" applyFill="1" applyBorder="1"/>
    <xf numFmtId="0" fontId="11" fillId="0" borderId="0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9" fillId="0" borderId="0" xfId="0" applyFont="1"/>
    <xf numFmtId="49" fontId="2" fillId="5" borderId="1" xfId="3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44" fontId="9" fillId="0" borderId="0" xfId="1" applyFont="1" applyBorder="1"/>
    <xf numFmtId="0" fontId="11" fillId="0" borderId="1" xfId="0" applyFont="1" applyBorder="1" applyAlignment="1">
      <alignment horizontal="left"/>
    </xf>
    <xf numFmtId="49" fontId="2" fillId="5" borderId="1" xfId="3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/>
    </xf>
    <xf numFmtId="0" fontId="0" fillId="5" borderId="0" xfId="0" applyFill="1"/>
    <xf numFmtId="49" fontId="11" fillId="5" borderId="1" xfId="0" applyNumberFormat="1" applyFont="1" applyFill="1" applyBorder="1" applyAlignment="1">
      <alignment horizontal="center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32" fillId="0" borderId="20" xfId="0" applyFont="1" applyBorder="1"/>
    <xf numFmtId="9" fontId="32" fillId="0" borderId="21" xfId="2" applyFont="1" applyBorder="1" applyAlignment="1">
      <alignment horizontal="right"/>
    </xf>
    <xf numFmtId="10" fontId="32" fillId="0" borderId="21" xfId="2" applyNumberFormat="1" applyFont="1" applyBorder="1"/>
    <xf numFmtId="10" fontId="32" fillId="0" borderId="21" xfId="0" applyNumberFormat="1" applyFont="1" applyBorder="1" applyAlignment="1">
      <alignment horizontal="center"/>
    </xf>
    <xf numFmtId="10" fontId="32" fillId="0" borderId="19" xfId="0" applyNumberFormat="1" applyFont="1" applyBorder="1" applyAlignment="1">
      <alignment horizontal="center"/>
    </xf>
    <xf numFmtId="0" fontId="33" fillId="0" borderId="22" xfId="0" applyFont="1" applyBorder="1"/>
    <xf numFmtId="9" fontId="33" fillId="0" borderId="0" xfId="2" applyFont="1" applyBorder="1" applyAlignment="1">
      <alignment horizontal="right"/>
    </xf>
    <xf numFmtId="0" fontId="32" fillId="0" borderId="22" xfId="0" applyFont="1" applyBorder="1"/>
    <xf numFmtId="9" fontId="32" fillId="0" borderId="0" xfId="2" applyFont="1" applyBorder="1" applyAlignment="1">
      <alignment horizontal="right"/>
    </xf>
    <xf numFmtId="0" fontId="32" fillId="0" borderId="24" xfId="0" applyFont="1" applyBorder="1"/>
    <xf numFmtId="9" fontId="32" fillId="0" borderId="7" xfId="2" applyFont="1" applyBorder="1" applyAlignment="1">
      <alignment horizontal="right"/>
    </xf>
    <xf numFmtId="10" fontId="32" fillId="0" borderId="7" xfId="2" applyNumberFormat="1" applyFont="1" applyBorder="1"/>
    <xf numFmtId="10" fontId="32" fillId="0" borderId="7" xfId="0" applyNumberFormat="1" applyFont="1" applyBorder="1" applyAlignment="1">
      <alignment horizontal="center"/>
    </xf>
    <xf numFmtId="10" fontId="32" fillId="0" borderId="25" xfId="0" applyNumberFormat="1" applyFont="1" applyBorder="1" applyAlignment="1">
      <alignment horizontal="center"/>
    </xf>
    <xf numFmtId="0" fontId="33" fillId="3" borderId="4" xfId="0" applyFont="1" applyFill="1" applyBorder="1"/>
    <xf numFmtId="9" fontId="33" fillId="3" borderId="5" xfId="2" applyFont="1" applyFill="1" applyBorder="1" applyAlignment="1">
      <alignment horizontal="right"/>
    </xf>
    <xf numFmtId="10" fontId="33" fillId="3" borderId="6" xfId="2" applyNumberFormat="1" applyFont="1" applyFill="1" applyBorder="1"/>
    <xf numFmtId="10" fontId="33" fillId="3" borderId="1" xfId="0" applyNumberFormat="1" applyFont="1" applyFill="1" applyBorder="1" applyAlignment="1">
      <alignment horizontal="center"/>
    </xf>
    <xf numFmtId="10" fontId="31" fillId="3" borderId="1" xfId="0" applyNumberFormat="1" applyFont="1" applyFill="1" applyBorder="1" applyAlignment="1">
      <alignment horizontal="center"/>
    </xf>
    <xf numFmtId="10" fontId="33" fillId="0" borderId="23" xfId="2" applyNumberFormat="1" applyFont="1" applyBorder="1"/>
    <xf numFmtId="10" fontId="33" fillId="0" borderId="9" xfId="0" applyNumberFormat="1" applyFont="1" applyBorder="1" applyAlignment="1">
      <alignment horizontal="center"/>
    </xf>
    <xf numFmtId="10" fontId="31" fillId="0" borderId="9" xfId="0" applyNumberFormat="1" applyFont="1" applyFill="1" applyBorder="1" applyAlignment="1">
      <alignment horizontal="center"/>
    </xf>
    <xf numFmtId="9" fontId="34" fillId="0" borderId="0" xfId="2" applyFont="1" applyBorder="1" applyAlignment="1">
      <alignment horizontal="right"/>
    </xf>
    <xf numFmtId="10" fontId="34" fillId="0" borderId="23" xfId="2" applyNumberFormat="1" applyFont="1" applyBorder="1" applyAlignment="1">
      <alignment horizontal="right"/>
    </xf>
    <xf numFmtId="0" fontId="33" fillId="0" borderId="22" xfId="0" applyFont="1" applyBorder="1" applyAlignment="1">
      <alignment horizontal="left" indent="3"/>
    </xf>
    <xf numFmtId="9" fontId="33" fillId="0" borderId="0" xfId="2" applyFont="1" applyAlignment="1">
      <alignment horizontal="right"/>
    </xf>
    <xf numFmtId="10" fontId="4" fillId="0" borderId="0" xfId="2" applyNumberFormat="1" applyFont="1" applyFill="1" applyBorder="1" applyAlignment="1" applyProtection="1">
      <alignment horizontal="right"/>
    </xf>
    <xf numFmtId="0" fontId="31" fillId="3" borderId="4" xfId="0" applyFont="1" applyFill="1" applyBorder="1"/>
    <xf numFmtId="9" fontId="31" fillId="3" borderId="5" xfId="2" applyFont="1" applyFill="1" applyBorder="1" applyAlignment="1">
      <alignment horizontal="right"/>
    </xf>
    <xf numFmtId="0" fontId="33" fillId="0" borderId="20" xfId="0" applyFont="1" applyBorder="1"/>
    <xf numFmtId="9" fontId="33" fillId="0" borderId="21" xfId="2" applyFont="1" applyBorder="1" applyAlignment="1">
      <alignment horizontal="right"/>
    </xf>
    <xf numFmtId="10" fontId="33" fillId="0" borderId="21" xfId="2" applyNumberFormat="1" applyFont="1" applyBorder="1"/>
    <xf numFmtId="10" fontId="33" fillId="0" borderId="21" xfId="0" applyNumberFormat="1" applyFont="1" applyBorder="1" applyAlignment="1">
      <alignment horizontal="center"/>
    </xf>
    <xf numFmtId="10" fontId="33" fillId="0" borderId="19" xfId="0" applyNumberFormat="1" applyFont="1" applyBorder="1" applyAlignment="1">
      <alignment horizontal="center"/>
    </xf>
    <xf numFmtId="0" fontId="33" fillId="0" borderId="0" xfId="0" applyFont="1" applyBorder="1" applyAlignment="1">
      <alignment horizontal="right"/>
    </xf>
    <xf numFmtId="10" fontId="33" fillId="0" borderId="0" xfId="2" applyNumberFormat="1" applyFont="1" applyBorder="1"/>
    <xf numFmtId="10" fontId="33" fillId="0" borderId="0" xfId="0" applyNumberFormat="1" applyFont="1" applyBorder="1" applyAlignment="1">
      <alignment horizontal="center"/>
    </xf>
    <xf numFmtId="10" fontId="33" fillId="0" borderId="23" xfId="0" applyNumberFormat="1" applyFont="1" applyBorder="1" applyAlignment="1">
      <alignment horizontal="center"/>
    </xf>
    <xf numFmtId="0" fontId="33" fillId="0" borderId="24" xfId="0" applyFont="1" applyBorder="1"/>
    <xf numFmtId="9" fontId="33" fillId="0" borderId="7" xfId="2" applyFont="1" applyBorder="1" applyAlignment="1">
      <alignment horizontal="right"/>
    </xf>
    <xf numFmtId="10" fontId="33" fillId="0" borderId="7" xfId="2" applyNumberFormat="1" applyFont="1" applyBorder="1"/>
    <xf numFmtId="10" fontId="33" fillId="0" borderId="7" xfId="0" applyNumberFormat="1" applyFont="1" applyBorder="1" applyAlignment="1">
      <alignment horizontal="center"/>
    </xf>
    <xf numFmtId="10" fontId="33" fillId="0" borderId="25" xfId="0" applyNumberFormat="1" applyFont="1" applyBorder="1" applyAlignment="1">
      <alignment horizontal="center"/>
    </xf>
    <xf numFmtId="0" fontId="33" fillId="0" borderId="0" xfId="0" applyFont="1"/>
    <xf numFmtId="10" fontId="33" fillId="0" borderId="0" xfId="2" applyNumberFormat="1" applyFont="1"/>
    <xf numFmtId="10" fontId="33" fillId="0" borderId="0" xfId="0" applyNumberFormat="1" applyFont="1" applyAlignment="1">
      <alignment horizontal="center"/>
    </xf>
    <xf numFmtId="0" fontId="36" fillId="0" borderId="0" xfId="0" applyNumberFormat="1" applyFont="1" applyBorder="1"/>
    <xf numFmtId="10" fontId="36" fillId="0" borderId="0" xfId="0" applyNumberFormat="1" applyFont="1" applyBorder="1" applyAlignment="1">
      <alignment horizontal="center"/>
    </xf>
    <xf numFmtId="0" fontId="37" fillId="0" borderId="0" xfId="0" applyNumberFormat="1" applyFont="1" applyBorder="1" applyAlignment="1">
      <alignment horizontal="centerContinuous"/>
    </xf>
    <xf numFmtId="10" fontId="36" fillId="0" borderId="0" xfId="0" applyNumberFormat="1" applyFont="1" applyBorder="1" applyAlignment="1">
      <alignment horizontal="centerContinuous"/>
    </xf>
    <xf numFmtId="10" fontId="36" fillId="37" borderId="30" xfId="0" applyNumberFormat="1" applyFont="1" applyFill="1" applyBorder="1" applyAlignment="1">
      <alignment horizontal="center" vertical="center" wrapText="1"/>
    </xf>
    <xf numFmtId="10" fontId="36" fillId="37" borderId="31" xfId="0" applyNumberFormat="1" applyFont="1" applyFill="1" applyBorder="1" applyAlignment="1">
      <alignment horizontal="center" vertical="center" wrapText="1"/>
    </xf>
    <xf numFmtId="10" fontId="36" fillId="0" borderId="29" xfId="0" applyNumberFormat="1" applyFont="1" applyBorder="1" applyAlignment="1">
      <alignment horizontal="center" vertical="center" wrapText="1"/>
    </xf>
    <xf numFmtId="0" fontId="36" fillId="0" borderId="0" xfId="0" applyNumberFormat="1" applyFont="1" applyBorder="1" applyAlignment="1"/>
    <xf numFmtId="0" fontId="36" fillId="0" borderId="9" xfId="0" applyNumberFormat="1" applyFont="1" applyBorder="1" applyAlignment="1">
      <alignment vertical="center"/>
    </xf>
    <xf numFmtId="10" fontId="36" fillId="0" borderId="22" xfId="0" applyNumberFormat="1" applyFont="1" applyBorder="1" applyAlignment="1">
      <alignment horizontal="center" vertical="center"/>
    </xf>
    <xf numFmtId="10" fontId="36" fillId="0" borderId="23" xfId="0" applyNumberFormat="1" applyFont="1" applyBorder="1" applyAlignment="1">
      <alignment horizontal="center" vertical="center"/>
    </xf>
    <xf numFmtId="10" fontId="36" fillId="0" borderId="9" xfId="0" applyNumberFormat="1" applyFont="1" applyBorder="1" applyAlignment="1">
      <alignment horizontal="center" vertical="center"/>
    </xf>
    <xf numFmtId="0" fontId="36" fillId="0" borderId="8" xfId="0" applyNumberFormat="1" applyFont="1" applyBorder="1" applyAlignment="1">
      <alignment vertical="center"/>
    </xf>
    <xf numFmtId="10" fontId="36" fillId="0" borderId="20" xfId="0" applyNumberFormat="1" applyFont="1" applyBorder="1" applyAlignment="1">
      <alignment horizontal="center" vertical="center"/>
    </xf>
    <xf numFmtId="10" fontId="36" fillId="0" borderId="19" xfId="0" applyNumberFormat="1" applyFont="1" applyBorder="1" applyAlignment="1">
      <alignment horizontal="center" vertical="center"/>
    </xf>
    <xf numFmtId="10" fontId="36" fillId="0" borderId="8" xfId="0" applyNumberFormat="1" applyFont="1" applyBorder="1" applyAlignment="1">
      <alignment horizontal="center" vertical="center"/>
    </xf>
    <xf numFmtId="0" fontId="36" fillId="0" borderId="28" xfId="0" applyNumberFormat="1" applyFont="1" applyBorder="1" applyAlignment="1">
      <alignment vertical="center"/>
    </xf>
    <xf numFmtId="10" fontId="36" fillId="0" borderId="24" xfId="0" applyNumberFormat="1" applyFont="1" applyBorder="1" applyAlignment="1">
      <alignment horizontal="center" vertical="center"/>
    </xf>
    <xf numFmtId="10" fontId="36" fillId="0" borderId="25" xfId="0" applyNumberFormat="1" applyFont="1" applyBorder="1" applyAlignment="1">
      <alignment horizontal="center" vertical="center"/>
    </xf>
    <xf numFmtId="10" fontId="36" fillId="0" borderId="28" xfId="0" applyNumberFormat="1" applyFont="1" applyBorder="1" applyAlignment="1">
      <alignment horizontal="center" vertical="center"/>
    </xf>
    <xf numFmtId="0" fontId="36" fillId="0" borderId="0" xfId="0" applyNumberFormat="1" applyFont="1" applyBorder="1" applyAlignment="1">
      <alignment vertical="center"/>
    </xf>
    <xf numFmtId="10" fontId="36" fillId="4" borderId="30" xfId="0" applyNumberFormat="1" applyFont="1" applyFill="1" applyBorder="1" applyAlignment="1">
      <alignment horizontal="center" vertical="center" wrapText="1"/>
    </xf>
    <xf numFmtId="10" fontId="36" fillId="4" borderId="31" xfId="0" applyNumberFormat="1" applyFont="1" applyFill="1" applyBorder="1" applyAlignment="1">
      <alignment horizontal="center" vertical="center" wrapText="1"/>
    </xf>
    <xf numFmtId="10" fontId="36" fillId="38" borderId="22" xfId="0" applyNumberFormat="1" applyFont="1" applyFill="1" applyBorder="1" applyAlignment="1">
      <alignment horizontal="center" vertical="center"/>
    </xf>
    <xf numFmtId="10" fontId="36" fillId="38" borderId="23" xfId="0" applyNumberFormat="1" applyFont="1" applyFill="1" applyBorder="1" applyAlignment="1">
      <alignment horizontal="center" vertical="center"/>
    </xf>
    <xf numFmtId="0" fontId="36" fillId="38" borderId="9" xfId="0" applyNumberFormat="1" applyFont="1" applyFill="1" applyBorder="1" applyAlignment="1">
      <alignment vertical="center"/>
    </xf>
    <xf numFmtId="10" fontId="36" fillId="38" borderId="9" xfId="0" applyNumberFormat="1" applyFont="1" applyFill="1" applyBorder="1" applyAlignment="1">
      <alignment horizontal="center" vertical="center"/>
    </xf>
    <xf numFmtId="0" fontId="32" fillId="0" borderId="0" xfId="0" applyFont="1"/>
    <xf numFmtId="9" fontId="32" fillId="0" borderId="0" xfId="2" applyFont="1" applyAlignment="1">
      <alignment horizontal="right"/>
    </xf>
    <xf numFmtId="0" fontId="39" fillId="0" borderId="0" xfId="0" applyFont="1"/>
    <xf numFmtId="0" fontId="40" fillId="0" borderId="0" xfId="0" applyFont="1"/>
    <xf numFmtId="10" fontId="32" fillId="5" borderId="0" xfId="2" applyNumberFormat="1" applyFont="1" applyFill="1" applyBorder="1" applyAlignment="1">
      <alignment horizontal="center"/>
    </xf>
    <xf numFmtId="10" fontId="32" fillId="5" borderId="0" xfId="0" applyNumberFormat="1" applyFont="1" applyFill="1" applyBorder="1" applyAlignment="1">
      <alignment horizontal="center"/>
    </xf>
    <xf numFmtId="0" fontId="32" fillId="5" borderId="23" xfId="0" applyFont="1" applyFill="1" applyBorder="1"/>
    <xf numFmtId="10" fontId="31" fillId="5" borderId="9" xfId="0" applyNumberFormat="1" applyFont="1" applyFill="1" applyBorder="1" applyAlignment="1" applyProtection="1">
      <alignment horizontal="center"/>
      <protection locked="0"/>
    </xf>
    <xf numFmtId="10" fontId="31" fillId="5" borderId="9" xfId="0" applyNumberFormat="1" applyFont="1" applyFill="1" applyBorder="1" applyAlignment="1">
      <alignment horizontal="center"/>
    </xf>
    <xf numFmtId="9" fontId="31" fillId="5" borderId="0" xfId="2" applyFont="1" applyFill="1" applyAlignment="1" applyProtection="1">
      <alignment horizontal="right"/>
      <protection locked="0"/>
    </xf>
    <xf numFmtId="10" fontId="31" fillId="5" borderId="0" xfId="2" applyNumberFormat="1" applyFont="1" applyFill="1" applyBorder="1" applyAlignment="1" applyProtection="1">
      <alignment horizontal="right"/>
      <protection locked="0"/>
    </xf>
    <xf numFmtId="9" fontId="33" fillId="5" borderId="0" xfId="2" applyFont="1" applyFill="1" applyAlignment="1">
      <alignment horizontal="right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165" fontId="6" fillId="0" borderId="1" xfId="5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1" fillId="0" borderId="0" xfId="3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5" xfId="0" applyBorder="1" applyAlignment="1">
      <alignment wrapText="1"/>
    </xf>
    <xf numFmtId="2" fontId="0" fillId="0" borderId="35" xfId="0" applyNumberFormat="1" applyBorder="1"/>
    <xf numFmtId="0" fontId="26" fillId="39" borderId="36" xfId="0" applyFont="1" applyFill="1" applyBorder="1"/>
    <xf numFmtId="0" fontId="26" fillId="39" borderId="37" xfId="0" applyFont="1" applyFill="1" applyBorder="1"/>
    <xf numFmtId="0" fontId="26" fillId="39" borderId="37" xfId="0" applyFont="1" applyFill="1" applyBorder="1" applyAlignment="1">
      <alignment wrapText="1"/>
    </xf>
    <xf numFmtId="49" fontId="26" fillId="39" borderId="37" xfId="0" applyNumberFormat="1" applyFont="1" applyFill="1" applyBorder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0" borderId="35" xfId="0" applyNumberFormat="1" applyBorder="1" applyAlignment="1">
      <alignment horizontal="right"/>
    </xf>
    <xf numFmtId="49" fontId="6" fillId="0" borderId="1" xfId="6" applyNumberFormat="1" applyFont="1" applyFill="1" applyBorder="1" applyAlignment="1">
      <alignment horizontal="right" vertical="center" wrapText="1"/>
    </xf>
    <xf numFmtId="4" fontId="0" fillId="0" borderId="0" xfId="0" applyNumberFormat="1"/>
    <xf numFmtId="4" fontId="0" fillId="0" borderId="39" xfId="0" applyNumberFormat="1" applyBorder="1"/>
    <xf numFmtId="4" fontId="0" fillId="0" borderId="40" xfId="0" applyNumberFormat="1" applyBorder="1"/>
    <xf numFmtId="0" fontId="3" fillId="0" borderId="9" xfId="3" applyFont="1" applyFill="1" applyBorder="1" applyAlignment="1">
      <alignment vertical="center"/>
    </xf>
    <xf numFmtId="49" fontId="3" fillId="0" borderId="0" xfId="3" applyNumberFormat="1" applyFont="1" applyFill="1" applyBorder="1" applyAlignment="1">
      <alignment horizontal="center" vertical="center" wrapText="1"/>
    </xf>
    <xf numFmtId="49" fontId="3" fillId="40" borderId="43" xfId="3" applyNumberFormat="1" applyFont="1" applyFill="1" applyBorder="1" applyAlignment="1">
      <alignment horizontal="center" vertical="center" wrapText="1"/>
    </xf>
    <xf numFmtId="49" fontId="3" fillId="40" borderId="2" xfId="3" applyNumberFormat="1" applyFont="1" applyFill="1" applyBorder="1" applyAlignment="1">
      <alignment horizontal="center" vertical="center" wrapText="1"/>
    </xf>
    <xf numFmtId="44" fontId="3" fillId="0" borderId="0" xfId="3" applyNumberFormat="1" applyFont="1" applyFill="1" applyBorder="1" applyAlignment="1">
      <alignment horizontal="right" vertical="center"/>
    </xf>
    <xf numFmtId="0" fontId="3" fillId="0" borderId="0" xfId="3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>
      <alignment horizontal="right" vertical="center"/>
    </xf>
    <xf numFmtId="4" fontId="2" fillId="5" borderId="1" xfId="4" applyNumberFormat="1" applyFont="1" applyFill="1" applyBorder="1" applyAlignment="1">
      <alignment horizontal="right" vertical="center"/>
    </xf>
    <xf numFmtId="4" fontId="2" fillId="0" borderId="0" xfId="4" applyNumberFormat="1" applyFont="1" applyFill="1" applyBorder="1" applyAlignment="1">
      <alignment horizontal="right" vertical="center"/>
    </xf>
    <xf numFmtId="44" fontId="2" fillId="0" borderId="0" xfId="1" applyFont="1" applyFill="1" applyBorder="1" applyAlignment="1">
      <alignment horizontal="right" vertical="center"/>
    </xf>
    <xf numFmtId="0" fontId="2" fillId="5" borderId="0" xfId="3" applyFont="1" applyFill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1" xfId="3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 vertical="center" wrapText="1"/>
    </xf>
    <xf numFmtId="44" fontId="3" fillId="40" borderId="2" xfId="1" applyFont="1" applyFill="1" applyBorder="1" applyAlignment="1">
      <alignment horizontal="center" vertical="center" wrapText="1"/>
    </xf>
    <xf numFmtId="0" fontId="3" fillId="4" borderId="42" xfId="3" applyFont="1" applyFill="1" applyBorder="1" applyAlignment="1">
      <alignment horizontal="right" vertical="center"/>
    </xf>
    <xf numFmtId="0" fontId="9" fillId="0" borderId="9" xfId="0" applyFont="1" applyBorder="1" applyAlignment="1">
      <alignment horizontal="center"/>
    </xf>
    <xf numFmtId="49" fontId="3" fillId="0" borderId="0" xfId="3" applyNumberFormat="1" applyFont="1" applyFill="1" applyBorder="1" applyAlignment="1">
      <alignment horizontal="center" vertical="center"/>
    </xf>
    <xf numFmtId="49" fontId="2" fillId="0" borderId="0" xfId="3" applyNumberFormat="1" applyFont="1" applyFill="1" applyBorder="1" applyAlignment="1">
      <alignment horizontal="center" vertical="center"/>
    </xf>
    <xf numFmtId="49" fontId="2" fillId="0" borderId="0" xfId="3" applyNumberFormat="1" applyFont="1" applyFill="1" applyBorder="1" applyAlignment="1">
      <alignment horizontal="center" vertical="center" wrapText="1"/>
    </xf>
    <xf numFmtId="0" fontId="3" fillId="4" borderId="6" xfId="3" applyFont="1" applyFill="1" applyBorder="1" applyAlignment="1">
      <alignment horizontal="center" vertical="center"/>
    </xf>
    <xf numFmtId="0" fontId="3" fillId="0" borderId="46" xfId="3" applyFont="1" applyFill="1" applyBorder="1" applyAlignment="1">
      <alignment horizontal="center"/>
    </xf>
    <xf numFmtId="0" fontId="3" fillId="0" borderId="51" xfId="3" applyFont="1" applyFill="1" applyBorder="1" applyAlignment="1">
      <alignment vertical="center"/>
    </xf>
    <xf numFmtId="0" fontId="3" fillId="0" borderId="0" xfId="3" applyFont="1" applyFill="1" applyBorder="1" applyAlignment="1">
      <alignment horizontal="left" vertical="center" wrapText="1"/>
    </xf>
    <xf numFmtId="0" fontId="44" fillId="0" borderId="0" xfId="3" applyFont="1" applyFill="1" applyBorder="1" applyAlignment="1">
      <alignment horizontal="left" vertical="center" wrapText="1"/>
    </xf>
    <xf numFmtId="0" fontId="3" fillId="4" borderId="41" xfId="3" applyFont="1" applyFill="1" applyBorder="1" applyAlignment="1">
      <alignment horizontal="center" vertical="center"/>
    </xf>
    <xf numFmtId="49" fontId="2" fillId="0" borderId="28" xfId="3" applyNumberFormat="1" applyFont="1" applyFill="1" applyBorder="1" applyAlignment="1">
      <alignment horizontal="center" vertical="center"/>
    </xf>
    <xf numFmtId="0" fontId="2" fillId="0" borderId="28" xfId="3" applyFont="1" applyFill="1" applyBorder="1" applyAlignment="1">
      <alignment horizontal="center" vertical="center"/>
    </xf>
    <xf numFmtId="0" fontId="2" fillId="0" borderId="28" xfId="3" applyFont="1" applyFill="1" applyBorder="1" applyAlignment="1">
      <alignment horizontal="left" vertical="center" wrapText="1"/>
    </xf>
    <xf numFmtId="4" fontId="2" fillId="0" borderId="28" xfId="4" applyNumberFormat="1" applyFont="1" applyFill="1" applyBorder="1" applyAlignment="1">
      <alignment horizontal="right" vertical="center"/>
    </xf>
    <xf numFmtId="44" fontId="2" fillId="0" borderId="28" xfId="1" applyFont="1" applyFill="1" applyBorder="1" applyAlignment="1">
      <alignment horizontal="right" vertical="center"/>
    </xf>
    <xf numFmtId="49" fontId="3" fillId="0" borderId="51" xfId="3" applyNumberFormat="1" applyFont="1" applyFill="1" applyBorder="1" applyAlignment="1">
      <alignment horizontal="center" vertical="center"/>
    </xf>
    <xf numFmtId="49" fontId="3" fillId="0" borderId="9" xfId="3" applyNumberFormat="1" applyFont="1" applyFill="1" applyBorder="1" applyAlignment="1">
      <alignment horizontal="center" vertical="center"/>
    </xf>
    <xf numFmtId="49" fontId="2" fillId="0" borderId="0" xfId="3" applyNumberFormat="1" applyFont="1" applyFill="1" applyAlignment="1">
      <alignment horizontal="center" vertical="center"/>
    </xf>
    <xf numFmtId="49" fontId="3" fillId="0" borderId="46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4" fillId="0" borderId="51" xfId="3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wrapText="1"/>
    </xf>
    <xf numFmtId="0" fontId="3" fillId="0" borderId="9" xfId="3" applyFont="1" applyFill="1" applyBorder="1" applyAlignment="1">
      <alignment horizontal="left" vertical="center"/>
    </xf>
    <xf numFmtId="4" fontId="3" fillId="0" borderId="0" xfId="4" applyNumberFormat="1" applyFont="1" applyFill="1" applyBorder="1" applyAlignment="1">
      <alignment horizontal="right" vertical="center" wrapText="1"/>
    </xf>
    <xf numFmtId="4" fontId="3" fillId="0" borderId="51" xfId="3" applyNumberFormat="1" applyFont="1" applyFill="1" applyBorder="1" applyAlignment="1">
      <alignment horizontal="right" vertical="center"/>
    </xf>
    <xf numFmtId="4" fontId="3" fillId="0" borderId="0" xfId="3" applyNumberFormat="1" applyFont="1" applyFill="1" applyBorder="1" applyAlignment="1">
      <alignment horizontal="right" vertical="center"/>
    </xf>
    <xf numFmtId="4" fontId="3" fillId="0" borderId="0" xfId="3" applyNumberFormat="1" applyFont="1" applyFill="1" applyBorder="1" applyAlignment="1">
      <alignment horizontal="right" vertical="center" wrapText="1"/>
    </xf>
    <xf numFmtId="4" fontId="2" fillId="0" borderId="1" xfId="3" applyNumberFormat="1" applyFont="1" applyFill="1" applyBorder="1" applyAlignment="1">
      <alignment horizontal="right" vertical="center"/>
    </xf>
    <xf numFmtId="0" fontId="3" fillId="0" borderId="9" xfId="3" applyFont="1" applyFill="1" applyBorder="1" applyAlignment="1">
      <alignment horizontal="right" vertical="center"/>
    </xf>
    <xf numFmtId="0" fontId="3" fillId="0" borderId="0" xfId="3" applyFont="1" applyFill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4" fontId="2" fillId="0" borderId="0" xfId="3" applyNumberFormat="1" applyFont="1" applyFill="1" applyAlignment="1">
      <alignment horizontal="right" vertical="center"/>
    </xf>
    <xf numFmtId="4" fontId="2" fillId="0" borderId="0" xfId="4" applyNumberFormat="1" applyFont="1" applyFill="1" applyAlignment="1">
      <alignment horizontal="right" vertical="center"/>
    </xf>
    <xf numFmtId="0" fontId="3" fillId="0" borderId="51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44" fontId="2" fillId="0" borderId="46" xfId="1" applyFont="1" applyFill="1" applyBorder="1" applyAlignment="1">
      <alignment horizontal="right" vertical="center" wrapText="1"/>
    </xf>
    <xf numFmtId="44" fontId="3" fillId="0" borderId="51" xfId="1" applyFont="1" applyFill="1" applyBorder="1" applyAlignment="1">
      <alignment horizontal="right" vertical="center"/>
    </xf>
    <xf numFmtId="44" fontId="3" fillId="0" borderId="0" xfId="1" applyFont="1" applyFill="1" applyBorder="1" applyAlignment="1">
      <alignment horizontal="right" vertical="center"/>
    </xf>
    <xf numFmtId="0" fontId="2" fillId="0" borderId="1" xfId="3" applyFont="1" applyFill="1" applyBorder="1" applyAlignment="1">
      <alignment horizontal="right" vertical="center"/>
    </xf>
    <xf numFmtId="44" fontId="2" fillId="0" borderId="0" xfId="1" applyFont="1" applyFill="1" applyAlignment="1">
      <alignment horizontal="right" vertical="center"/>
    </xf>
    <xf numFmtId="0" fontId="2" fillId="0" borderId="46" xfId="3" applyFont="1" applyFill="1" applyBorder="1" applyAlignment="1">
      <alignment horizontal="right" vertical="center" wrapText="1"/>
    </xf>
    <xf numFmtId="164" fontId="3" fillId="0" borderId="0" xfId="4" applyFont="1" applyFill="1" applyBorder="1" applyAlignment="1">
      <alignment horizontal="right" vertical="center" wrapText="1"/>
    </xf>
    <xf numFmtId="0" fontId="3" fillId="0" borderId="51" xfId="3" applyFont="1" applyFill="1" applyBorder="1" applyAlignment="1">
      <alignment horizontal="right" vertical="center"/>
    </xf>
    <xf numFmtId="44" fontId="3" fillId="4" borderId="1" xfId="1" applyNumberFormat="1" applyFont="1" applyFill="1" applyBorder="1" applyAlignment="1">
      <alignment horizontal="right" vertical="center"/>
    </xf>
    <xf numFmtId="44" fontId="2" fillId="0" borderId="28" xfId="1" applyNumberFormat="1" applyFont="1" applyFill="1" applyBorder="1" applyAlignment="1">
      <alignment horizontal="right" vertical="center"/>
    </xf>
    <xf numFmtId="44" fontId="2" fillId="0" borderId="1" xfId="1" applyNumberFormat="1" applyFont="1" applyFill="1" applyBorder="1" applyAlignment="1">
      <alignment horizontal="right" vertical="center"/>
    </xf>
    <xf numFmtId="0" fontId="2" fillId="0" borderId="0" xfId="3" applyFont="1" applyFill="1" applyBorder="1" applyAlignment="1">
      <alignment horizontal="right" vertical="center"/>
    </xf>
    <xf numFmtId="44" fontId="2" fillId="0" borderId="0" xfId="1" applyNumberFormat="1" applyFont="1" applyFill="1" applyBorder="1" applyAlignment="1">
      <alignment horizontal="right" vertical="center"/>
    </xf>
    <xf numFmtId="44" fontId="3" fillId="0" borderId="0" xfId="1" applyNumberFormat="1" applyFont="1" applyFill="1" applyBorder="1" applyAlignment="1">
      <alignment horizontal="right" vertical="center" wrapText="1"/>
    </xf>
    <xf numFmtId="44" fontId="3" fillId="39" borderId="42" xfId="1" applyNumberFormat="1" applyFont="1" applyFill="1" applyBorder="1" applyAlignment="1">
      <alignment horizontal="right" vertical="center" wrapText="1"/>
    </xf>
    <xf numFmtId="44" fontId="2" fillId="5" borderId="1" xfId="1" applyNumberFormat="1" applyFont="1" applyFill="1" applyBorder="1" applyAlignment="1">
      <alignment horizontal="right" vertical="center"/>
    </xf>
    <xf numFmtId="44" fontId="3" fillId="4" borderId="1" xfId="3" applyNumberFormat="1" applyFont="1" applyFill="1" applyBorder="1" applyAlignment="1">
      <alignment horizontal="right" vertical="center"/>
    </xf>
    <xf numFmtId="0" fontId="2" fillId="0" borderId="0" xfId="3" applyFont="1" applyFill="1" applyAlignment="1">
      <alignment horizontal="right" vertical="center"/>
    </xf>
    <xf numFmtId="10" fontId="2" fillId="0" borderId="0" xfId="3" applyNumberFormat="1" applyFont="1" applyFill="1" applyAlignment="1">
      <alignment horizontal="center" vertical="center"/>
    </xf>
    <xf numFmtId="10" fontId="2" fillId="0" borderId="46" xfId="3" applyNumberFormat="1" applyFont="1" applyFill="1" applyBorder="1" applyAlignment="1">
      <alignment horizontal="center" vertical="center"/>
    </xf>
    <xf numFmtId="10" fontId="2" fillId="0" borderId="0" xfId="3" applyNumberFormat="1" applyFont="1" applyFill="1" applyBorder="1" applyAlignment="1">
      <alignment horizontal="center" vertical="center"/>
    </xf>
    <xf numFmtId="10" fontId="2" fillId="0" borderId="51" xfId="3" applyNumberFormat="1" applyFont="1" applyFill="1" applyBorder="1" applyAlignment="1">
      <alignment horizontal="center" vertical="center"/>
    </xf>
    <xf numFmtId="10" fontId="2" fillId="4" borderId="1" xfId="3" applyNumberFormat="1" applyFont="1" applyFill="1" applyBorder="1" applyAlignment="1">
      <alignment horizontal="center" vertical="center"/>
    </xf>
    <xf numFmtId="10" fontId="2" fillId="0" borderId="28" xfId="3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center" vertical="center"/>
    </xf>
    <xf numFmtId="10" fontId="2" fillId="39" borderId="42" xfId="3" applyNumberFormat="1" applyFont="1" applyFill="1" applyBorder="1" applyAlignment="1">
      <alignment horizontal="center" vertical="center"/>
    </xf>
    <xf numFmtId="10" fontId="2" fillId="5" borderId="0" xfId="3" applyNumberFormat="1" applyFont="1" applyFill="1" applyAlignment="1">
      <alignment horizontal="center" vertical="center"/>
    </xf>
    <xf numFmtId="0" fontId="3" fillId="40" borderId="2" xfId="3" applyFont="1" applyFill="1" applyBorder="1" applyAlignment="1">
      <alignment horizontal="center" vertical="center"/>
    </xf>
    <xf numFmtId="44" fontId="3" fillId="39" borderId="2" xfId="1" applyNumberFormat="1" applyFont="1" applyFill="1" applyBorder="1" applyAlignment="1">
      <alignment horizontal="right" vertical="center" wrapText="1"/>
    </xf>
    <xf numFmtId="10" fontId="2" fillId="39" borderId="2" xfId="3" applyNumberFormat="1" applyFont="1" applyFill="1" applyBorder="1" applyAlignment="1">
      <alignment horizontal="center" vertical="center"/>
    </xf>
    <xf numFmtId="0" fontId="3" fillId="0" borderId="50" xfId="3" applyFont="1" applyFill="1" applyBorder="1" applyAlignment="1">
      <alignment horizontal="center" vertical="center"/>
    </xf>
    <xf numFmtId="0" fontId="3" fillId="0" borderId="23" xfId="3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3" applyNumberFormat="1" applyFont="1" applyFill="1" applyBorder="1" applyAlignment="1">
      <alignment horizontal="center" vertical="center"/>
    </xf>
    <xf numFmtId="9" fontId="2" fillId="0" borderId="0" xfId="3" applyNumberFormat="1" applyFont="1" applyFill="1" applyAlignment="1">
      <alignment horizontal="center" vertical="center"/>
    </xf>
    <xf numFmtId="9" fontId="2" fillId="0" borderId="46" xfId="3" applyNumberFormat="1" applyFont="1" applyFill="1" applyBorder="1" applyAlignment="1">
      <alignment horizontal="center" vertical="center"/>
    </xf>
    <xf numFmtId="9" fontId="2" fillId="0" borderId="0" xfId="3" applyNumberFormat="1" applyFont="1" applyFill="1" applyBorder="1" applyAlignment="1">
      <alignment horizontal="center" vertical="center"/>
    </xf>
    <xf numFmtId="9" fontId="2" fillId="0" borderId="51" xfId="3" applyNumberFormat="1" applyFont="1" applyFill="1" applyBorder="1" applyAlignment="1">
      <alignment horizontal="center" vertical="center"/>
    </xf>
    <xf numFmtId="9" fontId="2" fillId="4" borderId="1" xfId="3" applyNumberFormat="1" applyFont="1" applyFill="1" applyBorder="1" applyAlignment="1">
      <alignment horizontal="center" vertical="center"/>
    </xf>
    <xf numFmtId="9" fontId="2" fillId="0" borderId="28" xfId="3" applyNumberFormat="1" applyFont="1" applyFill="1" applyBorder="1" applyAlignment="1">
      <alignment horizontal="center" vertical="center"/>
    </xf>
    <xf numFmtId="9" fontId="2" fillId="0" borderId="1" xfId="3" applyNumberFormat="1" applyFont="1" applyFill="1" applyBorder="1" applyAlignment="1">
      <alignment horizontal="center" vertical="center"/>
    </xf>
    <xf numFmtId="9" fontId="2" fillId="39" borderId="2" xfId="3" applyNumberFormat="1" applyFont="1" applyFill="1" applyBorder="1" applyAlignment="1">
      <alignment horizontal="center" vertical="center"/>
    </xf>
    <xf numFmtId="9" fontId="2" fillId="39" borderId="42" xfId="3" applyNumberFormat="1" applyFont="1" applyFill="1" applyBorder="1" applyAlignment="1">
      <alignment horizontal="center" vertical="center"/>
    </xf>
    <xf numFmtId="9" fontId="2" fillId="5" borderId="0" xfId="3" applyNumberFormat="1" applyFont="1" applyFill="1" applyAlignment="1">
      <alignment horizontal="center" vertical="center"/>
    </xf>
    <xf numFmtId="0" fontId="3" fillId="4" borderId="43" xfId="3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center" vertical="center" wrapText="1"/>
    </xf>
    <xf numFmtId="0" fontId="2" fillId="0" borderId="28" xfId="3" applyFont="1" applyFill="1" applyBorder="1" applyAlignment="1">
      <alignment horizontal="center" vertical="center" wrapText="1"/>
    </xf>
    <xf numFmtId="0" fontId="2" fillId="5" borderId="28" xfId="3" applyFont="1" applyFill="1" applyBorder="1" applyAlignment="1">
      <alignment horizontal="center" vertical="center" wrapText="1"/>
    </xf>
    <xf numFmtId="0" fontId="2" fillId="5" borderId="28" xfId="3" applyFont="1" applyFill="1" applyBorder="1" applyAlignment="1">
      <alignment horizontal="left" vertical="center" wrapText="1"/>
    </xf>
    <xf numFmtId="4" fontId="2" fillId="5" borderId="28" xfId="4" applyNumberFormat="1" applyFont="1" applyFill="1" applyBorder="1" applyAlignment="1">
      <alignment horizontal="right" vertical="center"/>
    </xf>
    <xf numFmtId="44" fontId="2" fillId="5" borderId="28" xfId="1" applyFont="1" applyFill="1" applyBorder="1" applyAlignment="1">
      <alignment horizontal="right" vertical="center"/>
    </xf>
    <xf numFmtId="44" fontId="2" fillId="5" borderId="28" xfId="1" applyNumberFormat="1" applyFont="1" applyFill="1" applyBorder="1" applyAlignment="1">
      <alignment horizontal="right" vertical="center"/>
    </xf>
    <xf numFmtId="0" fontId="3" fillId="4" borderId="42" xfId="3" applyFont="1" applyFill="1" applyBorder="1" applyAlignment="1">
      <alignment vertical="center"/>
    </xf>
    <xf numFmtId="0" fontId="3" fillId="4" borderId="42" xfId="3" applyFont="1" applyFill="1" applyBorder="1" applyAlignment="1">
      <alignment horizontal="center" vertical="center"/>
    </xf>
    <xf numFmtId="44" fontId="3" fillId="4" borderId="42" xfId="3" applyNumberFormat="1" applyFont="1" applyFill="1" applyBorder="1" applyAlignment="1">
      <alignment vertical="center"/>
    </xf>
    <xf numFmtId="44" fontId="2" fillId="4" borderId="42" xfId="3" applyNumberFormat="1" applyFont="1" applyFill="1" applyBorder="1" applyAlignment="1">
      <alignment horizontal="center" vertical="center"/>
    </xf>
    <xf numFmtId="9" fontId="2" fillId="4" borderId="42" xfId="3" applyNumberFormat="1" applyFont="1" applyFill="1" applyBorder="1" applyAlignment="1">
      <alignment horizontal="center" vertical="center"/>
    </xf>
    <xf numFmtId="9" fontId="2" fillId="0" borderId="1" xfId="3" applyNumberFormat="1" applyFont="1" applyFill="1" applyBorder="1" applyAlignment="1">
      <alignment horizontal="center" vertical="center" wrapText="1"/>
    </xf>
    <xf numFmtId="49" fontId="2" fillId="0" borderId="28" xfId="3" applyNumberFormat="1" applyFont="1" applyFill="1" applyBorder="1" applyAlignment="1">
      <alignment horizontal="center" vertical="center" wrapText="1"/>
    </xf>
    <xf numFmtId="44" fontId="3" fillId="4" borderId="42" xfId="3" applyNumberFormat="1" applyFont="1" applyFill="1" applyBorder="1" applyAlignment="1">
      <alignment horizontal="right" vertical="center"/>
    </xf>
    <xf numFmtId="0" fontId="2" fillId="0" borderId="25" xfId="3" applyFont="1" applyFill="1" applyBorder="1" applyAlignment="1">
      <alignment horizontal="center" vertical="center"/>
    </xf>
    <xf numFmtId="0" fontId="2" fillId="5" borderId="28" xfId="3" applyFont="1" applyFill="1" applyBorder="1" applyAlignment="1">
      <alignment horizontal="center" vertical="center"/>
    </xf>
    <xf numFmtId="49" fontId="2" fillId="5" borderId="28" xfId="3" applyNumberFormat="1" applyFont="1" applyFill="1" applyBorder="1" applyAlignment="1">
      <alignment horizontal="center" vertical="center"/>
    </xf>
    <xf numFmtId="0" fontId="3" fillId="0" borderId="28" xfId="3" applyFont="1" applyFill="1" applyBorder="1" applyAlignment="1">
      <alignment horizontal="center" vertical="center"/>
    </xf>
    <xf numFmtId="9" fontId="2" fillId="5" borderId="1" xfId="3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0" fontId="2" fillId="4" borderId="42" xfId="3" applyNumberFormat="1" applyFont="1" applyFill="1" applyBorder="1" applyAlignment="1">
      <alignment horizontal="center" vertical="center"/>
    </xf>
    <xf numFmtId="10" fontId="2" fillId="5" borderId="1" xfId="3" applyNumberFormat="1" applyFont="1" applyFill="1" applyBorder="1" applyAlignment="1">
      <alignment horizontal="center" vertical="center"/>
    </xf>
    <xf numFmtId="10" fontId="2" fillId="40" borderId="2" xfId="1" applyNumberFormat="1" applyFont="1" applyFill="1" applyBorder="1" applyAlignment="1">
      <alignment horizontal="center" vertical="center" wrapText="1"/>
    </xf>
    <xf numFmtId="9" fontId="2" fillId="40" borderId="2" xfId="1" applyNumberFormat="1" applyFont="1" applyFill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center" vertical="center" wrapText="1"/>
    </xf>
    <xf numFmtId="9" fontId="2" fillId="0" borderId="0" xfId="1" applyNumberFormat="1" applyFont="1" applyFill="1" applyBorder="1" applyAlignment="1">
      <alignment horizontal="center" vertical="center" wrapText="1"/>
    </xf>
    <xf numFmtId="44" fontId="2" fillId="0" borderId="1" xfId="3" applyNumberFormat="1" applyFont="1" applyFill="1" applyBorder="1" applyAlignment="1">
      <alignment horizontal="right" vertic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vertical="center" wrapText="1"/>
    </xf>
    <xf numFmtId="49" fontId="3" fillId="0" borderId="7" xfId="3" applyNumberFormat="1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left" vertical="center" wrapText="1"/>
    </xf>
    <xf numFmtId="4" fontId="3" fillId="0" borderId="7" xfId="3" applyNumberFormat="1" applyFont="1" applyFill="1" applyBorder="1" applyAlignment="1">
      <alignment horizontal="right" vertical="center" wrapText="1"/>
    </xf>
    <xf numFmtId="44" fontId="3" fillId="0" borderId="25" xfId="1" applyFont="1" applyFill="1" applyBorder="1" applyAlignment="1">
      <alignment horizontal="right" vertical="center" wrapText="1"/>
    </xf>
    <xf numFmtId="0" fontId="3" fillId="0" borderId="28" xfId="3" applyFont="1" applyFill="1" applyBorder="1" applyAlignment="1">
      <alignment horizontal="right" vertical="center" wrapText="1"/>
    </xf>
    <xf numFmtId="44" fontId="3" fillId="0" borderId="28" xfId="1" applyNumberFormat="1" applyFont="1" applyFill="1" applyBorder="1" applyAlignment="1">
      <alignment horizontal="right" vertical="center" wrapText="1"/>
    </xf>
    <xf numFmtId="0" fontId="2" fillId="0" borderId="25" xfId="3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0" fontId="3" fillId="5" borderId="28" xfId="3" applyFont="1" applyFill="1" applyBorder="1" applyAlignment="1">
      <alignment horizontal="center" vertical="center"/>
    </xf>
    <xf numFmtId="43" fontId="2" fillId="5" borderId="28" xfId="3" applyNumberFormat="1" applyFont="1" applyFill="1" applyBorder="1" applyAlignment="1">
      <alignment horizontal="right" vertical="center"/>
    </xf>
    <xf numFmtId="10" fontId="2" fillId="5" borderId="28" xfId="3" applyNumberFormat="1" applyFont="1" applyFill="1" applyBorder="1" applyAlignment="1">
      <alignment horizontal="center" vertical="center"/>
    </xf>
    <xf numFmtId="9" fontId="2" fillId="5" borderId="28" xfId="3" applyNumberFormat="1" applyFont="1" applyFill="1" applyBorder="1" applyAlignment="1">
      <alignment horizontal="center" vertical="center"/>
    </xf>
    <xf numFmtId="44" fontId="43" fillId="4" borderId="42" xfId="3" applyNumberFormat="1" applyFont="1" applyFill="1" applyBorder="1" applyAlignment="1">
      <alignment horizontal="right" vertical="center"/>
    </xf>
    <xf numFmtId="10" fontId="2" fillId="0" borderId="47" xfId="3" applyNumberFormat="1" applyFont="1" applyFill="1" applyBorder="1" applyAlignment="1">
      <alignment horizontal="center" vertical="center"/>
    </xf>
    <xf numFmtId="10" fontId="2" fillId="0" borderId="49" xfId="3" applyNumberFormat="1" applyFont="1" applyFill="1" applyBorder="1" applyAlignment="1">
      <alignment horizontal="center" vertical="center"/>
    </xf>
    <xf numFmtId="10" fontId="2" fillId="0" borderId="52" xfId="3" applyNumberFormat="1" applyFont="1" applyFill="1" applyBorder="1" applyAlignment="1">
      <alignment horizontal="center" vertical="center"/>
    </xf>
    <xf numFmtId="10" fontId="2" fillId="40" borderId="44" xfId="1" applyNumberFormat="1" applyFont="1" applyFill="1" applyBorder="1" applyAlignment="1">
      <alignment horizontal="center" vertical="center" wrapText="1"/>
    </xf>
    <xf numFmtId="10" fontId="2" fillId="39" borderId="44" xfId="3" applyNumberFormat="1" applyFont="1" applyFill="1" applyBorder="1" applyAlignment="1">
      <alignment horizontal="center" vertical="center"/>
    </xf>
    <xf numFmtId="10" fontId="2" fillId="39" borderId="53" xfId="3" applyNumberFormat="1" applyFont="1" applyFill="1" applyBorder="1" applyAlignment="1">
      <alignment horizontal="center" vertical="center"/>
    </xf>
    <xf numFmtId="10" fontId="2" fillId="4" borderId="53" xfId="3" applyNumberFormat="1" applyFont="1" applyFill="1" applyBorder="1" applyAlignment="1">
      <alignment vertical="center"/>
    </xf>
    <xf numFmtId="10" fontId="2" fillId="4" borderId="53" xfId="3" applyNumberFormat="1" applyFont="1" applyFill="1" applyBorder="1" applyAlignment="1">
      <alignment horizontal="center" vertical="center"/>
    </xf>
    <xf numFmtId="0" fontId="3" fillId="0" borderId="45" xfId="3" applyFont="1" applyFill="1" applyBorder="1" applyAlignment="1">
      <alignment horizontal="center" vertical="center"/>
    </xf>
    <xf numFmtId="0" fontId="3" fillId="0" borderId="48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" fontId="3" fillId="40" borderId="2" xfId="4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3" fillId="0" borderId="1" xfId="3" applyFont="1" applyFill="1" applyBorder="1" applyAlignment="1">
      <alignment horizontal="left" vertical="center"/>
    </xf>
    <xf numFmtId="0" fontId="9" fillId="0" borderId="22" xfId="0" applyFont="1" applyBorder="1" applyAlignment="1">
      <alignment horizontal="center"/>
    </xf>
    <xf numFmtId="0" fontId="0" fillId="0" borderId="0" xfId="0" applyFill="1"/>
    <xf numFmtId="0" fontId="11" fillId="0" borderId="36" xfId="0" applyFont="1" applyFill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7" xfId="0" applyFont="1" applyBorder="1" applyAlignment="1">
      <alignment horizontal="left"/>
    </xf>
    <xf numFmtId="0" fontId="11" fillId="0" borderId="38" xfId="0" applyFont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0" fontId="9" fillId="0" borderId="48" xfId="0" applyFont="1" applyBorder="1"/>
    <xf numFmtId="0" fontId="9" fillId="0" borderId="39" xfId="0" applyFont="1" applyBorder="1" applyAlignment="1">
      <alignment horizontal="center"/>
    </xf>
    <xf numFmtId="0" fontId="9" fillId="0" borderId="50" xfId="0" applyFont="1" applyBorder="1"/>
    <xf numFmtId="0" fontId="0" fillId="0" borderId="0" xfId="0" applyBorder="1"/>
    <xf numFmtId="49" fontId="11" fillId="0" borderId="37" xfId="0" applyNumberFormat="1" applyFont="1" applyBorder="1" applyAlignment="1">
      <alignment horizontal="center"/>
    </xf>
    <xf numFmtId="0" fontId="0" fillId="0" borderId="48" xfId="0" applyBorder="1"/>
    <xf numFmtId="0" fontId="0" fillId="0" borderId="50" xfId="0" applyBorder="1"/>
    <xf numFmtId="44" fontId="11" fillId="0" borderId="39" xfId="0" applyNumberFormat="1" applyFont="1" applyBorder="1" applyAlignment="1">
      <alignment horizontal="center"/>
    </xf>
    <xf numFmtId="44" fontId="9" fillId="0" borderId="55" xfId="1" applyFont="1" applyBorder="1" applyAlignment="1">
      <alignment horizontal="center" vertical="center"/>
    </xf>
    <xf numFmtId="44" fontId="9" fillId="0" borderId="58" xfId="1" applyFont="1" applyBorder="1" applyAlignment="1">
      <alignment horizontal="center" vertical="center"/>
    </xf>
    <xf numFmtId="44" fontId="9" fillId="0" borderId="57" xfId="1" applyFont="1" applyBorder="1"/>
    <xf numFmtId="44" fontId="11" fillId="0" borderId="38" xfId="0" applyNumberFormat="1" applyFont="1" applyBorder="1" applyAlignment="1">
      <alignment horizontal="center"/>
    </xf>
    <xf numFmtId="44" fontId="9" fillId="0" borderId="39" xfId="1" applyFont="1" applyBorder="1" applyAlignment="1">
      <alignment horizontal="center" vertical="center"/>
    </xf>
    <xf numFmtId="44" fontId="9" fillId="0" borderId="40" xfId="1" applyFont="1" applyBorder="1"/>
    <xf numFmtId="2" fontId="0" fillId="0" borderId="39" xfId="0" applyNumberFormat="1" applyBorder="1"/>
    <xf numFmtId="0" fontId="0" fillId="0" borderId="33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  <xf numFmtId="44" fontId="9" fillId="0" borderId="0" xfId="1" applyFont="1" applyBorder="1" applyAlignment="1">
      <alignment horizontal="center" vertical="center"/>
    </xf>
    <xf numFmtId="44" fontId="9" fillId="0" borderId="40" xfId="1" applyFont="1" applyBorder="1" applyAlignment="1">
      <alignment horizontal="center" vertical="center"/>
    </xf>
    <xf numFmtId="0" fontId="0" fillId="0" borderId="35" xfId="0" applyFill="1" applyBorder="1"/>
    <xf numFmtId="0" fontId="0" fillId="0" borderId="51" xfId="0" applyBorder="1"/>
    <xf numFmtId="0" fontId="0" fillId="0" borderId="51" xfId="0" applyBorder="1" applyAlignment="1">
      <alignment wrapText="1"/>
    </xf>
    <xf numFmtId="0" fontId="0" fillId="0" borderId="52" xfId="0" applyBorder="1"/>
    <xf numFmtId="0" fontId="0" fillId="0" borderId="0" xfId="0" applyFill="1" applyAlignment="1">
      <alignment horizontal="center"/>
    </xf>
    <xf numFmtId="0" fontId="0" fillId="0" borderId="48" xfId="0" applyFill="1" applyBorder="1"/>
    <xf numFmtId="44" fontId="9" fillId="0" borderId="39" xfId="1" applyFont="1" applyFill="1" applyBorder="1" applyAlignment="1">
      <alignment horizontal="center" vertical="center"/>
    </xf>
    <xf numFmtId="0" fontId="0" fillId="0" borderId="50" xfId="0" applyFill="1" applyBorder="1"/>
    <xf numFmtId="0" fontId="9" fillId="0" borderId="35" xfId="0" applyFont="1" applyFill="1" applyBorder="1" applyAlignment="1">
      <alignment horizontal="center"/>
    </xf>
    <xf numFmtId="44" fontId="9" fillId="0" borderId="40" xfId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26" fillId="0" borderId="0" xfId="0" applyFont="1" applyBorder="1"/>
    <xf numFmtId="0" fontId="9" fillId="0" borderId="0" xfId="0" applyFont="1" applyFill="1"/>
    <xf numFmtId="0" fontId="11" fillId="0" borderId="37" xfId="0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49" fontId="11" fillId="0" borderId="37" xfId="0" applyNumberFormat="1" applyFont="1" applyFill="1" applyBorder="1" applyAlignment="1">
      <alignment horizontal="center"/>
    </xf>
    <xf numFmtId="0" fontId="0" fillId="0" borderId="51" xfId="0" applyFill="1" applyBorder="1"/>
    <xf numFmtId="0" fontId="9" fillId="0" borderId="2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9" xfId="0" applyFill="1" applyBorder="1"/>
    <xf numFmtId="0" fontId="9" fillId="0" borderId="23" xfId="0" applyFont="1" applyBorder="1" applyAlignment="1">
      <alignment horizontal="center"/>
    </xf>
    <xf numFmtId="44" fontId="9" fillId="0" borderId="22" xfId="1" applyFont="1" applyBorder="1" applyAlignment="1">
      <alignment horizontal="center" vertical="center"/>
    </xf>
    <xf numFmtId="44" fontId="9" fillId="0" borderId="9" xfId="1" applyFont="1" applyBorder="1" applyAlignment="1">
      <alignment horizontal="center" vertical="center"/>
    </xf>
    <xf numFmtId="0" fontId="26" fillId="0" borderId="0" xfId="0" applyFont="1" applyBorder="1" applyAlignment="1">
      <alignment wrapText="1"/>
    </xf>
    <xf numFmtId="0" fontId="9" fillId="0" borderId="9" xfId="0" applyFont="1" applyFill="1" applyBorder="1" applyAlignment="1">
      <alignment horizontal="center"/>
    </xf>
    <xf numFmtId="44" fontId="9" fillId="0" borderId="57" xfId="1" applyFont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5" borderId="24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44" fontId="9" fillId="5" borderId="7" xfId="1" applyFont="1" applyFill="1" applyBorder="1"/>
    <xf numFmtId="0" fontId="11" fillId="5" borderId="36" xfId="0" applyFont="1" applyFill="1" applyBorder="1" applyAlignment="1">
      <alignment horizontal="center"/>
    </xf>
    <xf numFmtId="0" fontId="11" fillId="5" borderId="37" xfId="0" applyFont="1" applyFill="1" applyBorder="1" applyAlignment="1">
      <alignment horizontal="left"/>
    </xf>
    <xf numFmtId="0" fontId="11" fillId="5" borderId="37" xfId="0" applyFont="1" applyFill="1" applyBorder="1" applyAlignment="1">
      <alignment horizontal="center"/>
    </xf>
    <xf numFmtId="0" fontId="11" fillId="5" borderId="38" xfId="0" applyFont="1" applyFill="1" applyBorder="1" applyAlignment="1">
      <alignment horizontal="center"/>
    </xf>
    <xf numFmtId="0" fontId="11" fillId="5" borderId="33" xfId="0" applyFont="1" applyFill="1" applyBorder="1" applyAlignment="1">
      <alignment horizontal="center"/>
    </xf>
    <xf numFmtId="44" fontId="11" fillId="5" borderId="39" xfId="0" applyNumberFormat="1" applyFont="1" applyFill="1" applyBorder="1" applyAlignment="1">
      <alignment horizontal="center"/>
    </xf>
    <xf numFmtId="0" fontId="0" fillId="5" borderId="48" xfId="0" applyFill="1" applyBorder="1"/>
    <xf numFmtId="0" fontId="9" fillId="5" borderId="39" xfId="0" applyFont="1" applyFill="1" applyBorder="1" applyAlignment="1">
      <alignment horizontal="center"/>
    </xf>
    <xf numFmtId="44" fontId="9" fillId="5" borderId="55" xfId="1" applyFont="1" applyFill="1" applyBorder="1" applyAlignment="1">
      <alignment horizontal="center" vertical="center"/>
    </xf>
    <xf numFmtId="0" fontId="0" fillId="5" borderId="50" xfId="0" applyFill="1" applyBorder="1"/>
    <xf numFmtId="44" fontId="9" fillId="5" borderId="57" xfId="1" applyFont="1" applyFill="1" applyBorder="1"/>
    <xf numFmtId="44" fontId="9" fillId="0" borderId="58" xfId="1" applyFont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44" fontId="11" fillId="0" borderId="39" xfId="0" applyNumberFormat="1" applyFont="1" applyFill="1" applyBorder="1" applyAlignment="1">
      <alignment horizontal="center"/>
    </xf>
    <xf numFmtId="0" fontId="11" fillId="0" borderId="37" xfId="0" applyFont="1" applyFill="1" applyBorder="1" applyAlignment="1">
      <alignment horizontal="left"/>
    </xf>
    <xf numFmtId="0" fontId="11" fillId="0" borderId="38" xfId="0" applyFont="1" applyFill="1" applyBorder="1" applyAlignment="1">
      <alignment horizontal="center"/>
    </xf>
    <xf numFmtId="44" fontId="9" fillId="0" borderId="55" xfId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0" fontId="43" fillId="0" borderId="0" xfId="3" applyFont="1" applyFill="1" applyBorder="1" applyAlignment="1">
      <alignment horizontal="left" vertical="center" wrapText="1"/>
    </xf>
    <xf numFmtId="0" fontId="44" fillId="0" borderId="0" xfId="3" applyFont="1" applyFill="1" applyBorder="1" applyAlignment="1">
      <alignment horizontal="left" vertical="center"/>
    </xf>
    <xf numFmtId="0" fontId="42" fillId="0" borderId="0" xfId="0" applyFont="1" applyAlignment="1">
      <alignment horizontal="center" wrapText="1"/>
    </xf>
    <xf numFmtId="49" fontId="42" fillId="0" borderId="0" xfId="0" applyNumberFormat="1" applyFont="1" applyAlignment="1">
      <alignment horizontal="center" wrapText="1"/>
    </xf>
    <xf numFmtId="4" fontId="42" fillId="0" borderId="0" xfId="0" applyNumberFormat="1" applyFont="1" applyAlignment="1">
      <alignment horizontal="center" wrapText="1"/>
    </xf>
    <xf numFmtId="4" fontId="47" fillId="0" borderId="46" xfId="4" applyNumberFormat="1" applyFont="1" applyFill="1" applyBorder="1" applyAlignment="1">
      <alignment horizontal="right" vertical="center" wrapText="1"/>
    </xf>
    <xf numFmtId="0" fontId="47" fillId="0" borderId="46" xfId="3" applyFont="1" applyFill="1" applyBorder="1" applyAlignment="1">
      <alignment horizontal="center" vertical="center" wrapText="1"/>
    </xf>
    <xf numFmtId="44" fontId="47" fillId="0" borderId="46" xfId="1" applyFont="1" applyFill="1" applyBorder="1" applyAlignment="1">
      <alignment horizontal="right" vertical="center" wrapText="1"/>
    </xf>
    <xf numFmtId="4" fontId="44" fillId="0" borderId="0" xfId="4" applyNumberFormat="1" applyFont="1" applyFill="1" applyBorder="1" applyAlignment="1">
      <alignment horizontal="right" vertical="center" wrapText="1"/>
    </xf>
    <xf numFmtId="164" fontId="44" fillId="0" borderId="0" xfId="4" applyFont="1" applyFill="1" applyBorder="1" applyAlignment="1">
      <alignment horizontal="center" vertical="center" wrapText="1"/>
    </xf>
    <xf numFmtId="10" fontId="44" fillId="0" borderId="0" xfId="2" applyNumberFormat="1" applyFont="1" applyFill="1" applyBorder="1" applyAlignment="1">
      <alignment horizontal="right" vertical="center" wrapText="1"/>
    </xf>
    <xf numFmtId="0" fontId="0" fillId="0" borderId="0" xfId="0" quotePrefix="1"/>
    <xf numFmtId="0" fontId="0" fillId="4" borderId="0" xfId="0" applyFill="1"/>
    <xf numFmtId="4" fontId="47" fillId="0" borderId="46" xfId="1" applyNumberFormat="1" applyFont="1" applyFill="1" applyBorder="1" applyAlignment="1">
      <alignment horizontal="right" vertical="center" wrapText="1"/>
    </xf>
    <xf numFmtId="4" fontId="3" fillId="0" borderId="51" xfId="1" applyNumberFormat="1" applyFont="1" applyFill="1" applyBorder="1" applyAlignment="1">
      <alignment horizontal="right" vertical="center"/>
    </xf>
    <xf numFmtId="4" fontId="3" fillId="0" borderId="0" xfId="1" applyNumberFormat="1" applyFont="1" applyFill="1" applyBorder="1" applyAlignment="1">
      <alignment horizontal="right" vertical="center"/>
    </xf>
    <xf numFmtId="4" fontId="3" fillId="4" borderId="42" xfId="3" applyNumberFormat="1" applyFont="1" applyFill="1" applyBorder="1" applyAlignment="1">
      <alignment vertical="center"/>
    </xf>
    <xf numFmtId="10" fontId="0" fillId="0" borderId="0" xfId="0" applyNumberFormat="1"/>
    <xf numFmtId="10" fontId="3" fillId="0" borderId="0" xfId="3" applyNumberFormat="1" applyFont="1" applyFill="1" applyBorder="1" applyAlignment="1">
      <alignment horizontal="right" vertical="center"/>
    </xf>
    <xf numFmtId="9" fontId="0" fillId="41" borderId="0" xfId="0" applyNumberFormat="1" applyFill="1"/>
    <xf numFmtId="9" fontId="0" fillId="42" borderId="0" xfId="0" applyNumberFormat="1" applyFill="1"/>
    <xf numFmtId="9" fontId="0" fillId="41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9" fontId="0" fillId="4" borderId="0" xfId="0" applyNumberFormat="1" applyFill="1"/>
    <xf numFmtId="44" fontId="0" fillId="38" borderId="0" xfId="0" applyNumberFormat="1" applyFill="1" applyAlignment="1">
      <alignment horizontal="center"/>
    </xf>
    <xf numFmtId="0" fontId="0" fillId="38" borderId="0" xfId="0" applyFill="1"/>
    <xf numFmtId="0" fontId="0" fillId="38" borderId="0" xfId="0" applyFill="1" applyAlignment="1">
      <alignment horizontal="center"/>
    </xf>
    <xf numFmtId="44" fontId="0" fillId="38" borderId="0" xfId="0" applyNumberFormat="1" applyFill="1"/>
    <xf numFmtId="0" fontId="0" fillId="38" borderId="0" xfId="0" applyFill="1" applyBorder="1"/>
    <xf numFmtId="0" fontId="26" fillId="38" borderId="0" xfId="0" applyFont="1" applyFill="1" applyBorder="1"/>
    <xf numFmtId="0" fontId="26" fillId="38" borderId="0" xfId="0" applyFont="1" applyFill="1"/>
    <xf numFmtId="44" fontId="0" fillId="43" borderId="0" xfId="0" applyNumberFormat="1" applyFill="1"/>
    <xf numFmtId="4" fontId="0" fillId="43" borderId="0" xfId="0" applyNumberFormat="1" applyFill="1"/>
    <xf numFmtId="0" fontId="0" fillId="43" borderId="0" xfId="0" applyFill="1"/>
    <xf numFmtId="44" fontId="0" fillId="43" borderId="0" xfId="0" applyNumberFormat="1" applyFill="1" applyAlignment="1">
      <alignment horizontal="center"/>
    </xf>
    <xf numFmtId="10" fontId="0" fillId="43" borderId="0" xfId="0" applyNumberFormat="1" applyFill="1"/>
    <xf numFmtId="0" fontId="0" fillId="44" borderId="0" xfId="0" applyFill="1"/>
    <xf numFmtId="10" fontId="0" fillId="44" borderId="0" xfId="0" applyNumberFormat="1" applyFill="1" applyAlignment="1">
      <alignment horizontal="center"/>
    </xf>
    <xf numFmtId="10" fontId="0" fillId="44" borderId="0" xfId="0" applyNumberFormat="1" applyFill="1"/>
    <xf numFmtId="0" fontId="0" fillId="45" borderId="0" xfId="0" applyFill="1"/>
    <xf numFmtId="0" fontId="0" fillId="45" borderId="0" xfId="0" applyFill="1" applyAlignment="1">
      <alignment horizontal="center"/>
    </xf>
    <xf numFmtId="44" fontId="0" fillId="45" borderId="0" xfId="0" applyNumberFormat="1" applyFill="1"/>
    <xf numFmtId="4" fontId="0" fillId="45" borderId="0" xfId="0" applyNumberFormat="1" applyFill="1"/>
    <xf numFmtId="10" fontId="0" fillId="45" borderId="0" xfId="0" applyNumberFormat="1" applyFill="1"/>
    <xf numFmtId="4" fontId="0" fillId="44" borderId="0" xfId="0" applyNumberFormat="1" applyFill="1"/>
    <xf numFmtId="4" fontId="26" fillId="43" borderId="0" xfId="0" applyNumberFormat="1" applyFont="1" applyFill="1"/>
    <xf numFmtId="0" fontId="48" fillId="0" borderId="0" xfId="3" applyFont="1" applyFill="1" applyBorder="1" applyAlignment="1">
      <alignment horizontal="center" vertical="center"/>
    </xf>
    <xf numFmtId="0" fontId="48" fillId="0" borderId="0" xfId="3" applyFont="1" applyFill="1" applyAlignment="1">
      <alignment vertical="center"/>
    </xf>
    <xf numFmtId="0" fontId="48" fillId="0" borderId="0" xfId="3" applyFont="1" applyFill="1" applyBorder="1" applyAlignment="1">
      <alignment vertical="center"/>
    </xf>
    <xf numFmtId="0" fontId="49" fillId="0" borderId="0" xfId="0" applyFont="1" applyBorder="1" applyAlignment="1">
      <alignment wrapText="1"/>
    </xf>
    <xf numFmtId="0" fontId="48" fillId="0" borderId="0" xfId="0" applyFont="1" applyBorder="1" applyAlignment="1">
      <alignment wrapText="1"/>
    </xf>
    <xf numFmtId="166" fontId="48" fillId="0" borderId="20" xfId="0" applyNumberFormat="1" applyFont="1" applyBorder="1" applyAlignment="1">
      <alignment horizontal="left" vertical="center"/>
    </xf>
    <xf numFmtId="0" fontId="48" fillId="0" borderId="21" xfId="3" applyFont="1" applyFill="1" applyBorder="1" applyAlignment="1">
      <alignment horizontal="center"/>
    </xf>
    <xf numFmtId="166" fontId="48" fillId="0" borderId="21" xfId="0" applyNumberFormat="1" applyFont="1" applyBorder="1" applyAlignment="1">
      <alignment horizontal="left" vertical="center"/>
    </xf>
    <xf numFmtId="0" fontId="48" fillId="0" borderId="21" xfId="3" applyFont="1" applyFill="1" applyBorder="1" applyAlignment="1">
      <alignment vertical="center"/>
    </xf>
    <xf numFmtId="0" fontId="49" fillId="0" borderId="21" xfId="0" applyFont="1" applyBorder="1" applyAlignment="1">
      <alignment wrapText="1"/>
    </xf>
    <xf numFmtId="0" fontId="49" fillId="0" borderId="19" xfId="0" applyFont="1" applyBorder="1" applyAlignment="1">
      <alignment wrapText="1"/>
    </xf>
    <xf numFmtId="0" fontId="48" fillId="0" borderId="24" xfId="0" applyFont="1" applyBorder="1" applyAlignment="1">
      <alignment horizontal="left" vertical="center"/>
    </xf>
    <xf numFmtId="0" fontId="48" fillId="0" borderId="7" xfId="3" applyFont="1" applyFill="1" applyBorder="1" applyAlignment="1">
      <alignment horizontal="center"/>
    </xf>
    <xf numFmtId="0" fontId="48" fillId="0" borderId="7" xfId="0" applyFont="1" applyBorder="1" applyAlignment="1">
      <alignment horizontal="left" vertical="center"/>
    </xf>
    <xf numFmtId="0" fontId="48" fillId="0" borderId="7" xfId="3" applyFont="1" applyFill="1" applyBorder="1" applyAlignment="1">
      <alignment vertical="center"/>
    </xf>
    <xf numFmtId="0" fontId="48" fillId="0" borderId="7" xfId="0" applyFont="1" applyBorder="1" applyAlignment="1">
      <alignment wrapText="1"/>
    </xf>
    <xf numFmtId="0" fontId="48" fillId="0" borderId="25" xfId="0" applyFont="1" applyBorder="1" applyAlignment="1">
      <alignment wrapText="1"/>
    </xf>
    <xf numFmtId="0" fontId="3" fillId="4" borderId="41" xfId="3" applyFont="1" applyFill="1" applyBorder="1" applyAlignment="1">
      <alignment vertical="center"/>
    </xf>
    <xf numFmtId="10" fontId="3" fillId="4" borderId="53" xfId="3" applyNumberFormat="1" applyFont="1" applyFill="1" applyBorder="1" applyAlignment="1">
      <alignment vertical="center"/>
    </xf>
    <xf numFmtId="10" fontId="2" fillId="0" borderId="47" xfId="3" applyNumberFormat="1" applyFont="1" applyFill="1" applyBorder="1" applyAlignment="1">
      <alignment horizontal="right" vertical="center" wrapText="1"/>
    </xf>
    <xf numFmtId="10" fontId="3" fillId="0" borderId="49" xfId="4" applyNumberFormat="1" applyFont="1" applyFill="1" applyBorder="1" applyAlignment="1">
      <alignment horizontal="right" vertical="center" wrapText="1"/>
    </xf>
    <xf numFmtId="10" fontId="3" fillId="0" borderId="52" xfId="3" applyNumberFormat="1" applyFont="1" applyFill="1" applyBorder="1" applyAlignment="1">
      <alignment horizontal="right" vertical="center"/>
    </xf>
    <xf numFmtId="10" fontId="44" fillId="0" borderId="0" xfId="2" applyNumberFormat="1" applyFont="1" applyFill="1" applyBorder="1" applyAlignment="1">
      <alignment horizontal="left" vertical="center" wrapText="1"/>
    </xf>
    <xf numFmtId="49" fontId="3" fillId="0" borderId="51" xfId="3" applyNumberFormat="1" applyFont="1" applyFill="1" applyBorder="1" applyAlignment="1">
      <alignment horizontal="right" vertical="center"/>
    </xf>
    <xf numFmtId="0" fontId="2" fillId="0" borderId="51" xfId="3" applyFont="1" applyFill="1" applyBorder="1" applyAlignment="1">
      <alignment vertical="center"/>
    </xf>
    <xf numFmtId="0" fontId="9" fillId="0" borderId="1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44" fontId="3" fillId="4" borderId="1" xfId="1" applyFont="1" applyFill="1" applyBorder="1" applyAlignment="1">
      <alignment horizontal="right" vertical="center"/>
    </xf>
    <xf numFmtId="0" fontId="50" fillId="0" borderId="0" xfId="3" applyFont="1" applyFill="1" applyBorder="1" applyAlignment="1">
      <alignment horizontal="center" vertical="center"/>
    </xf>
    <xf numFmtId="0" fontId="50" fillId="0" borderId="0" xfId="3" applyFont="1" applyFill="1" applyBorder="1" applyAlignment="1">
      <alignment vertical="center"/>
    </xf>
    <xf numFmtId="0" fontId="50" fillId="0" borderId="0" xfId="3" applyFont="1" applyFill="1" applyAlignment="1">
      <alignment vertical="center"/>
    </xf>
    <xf numFmtId="0" fontId="50" fillId="0" borderId="1" xfId="3" applyFont="1" applyFill="1" applyBorder="1" applyAlignment="1">
      <alignment vertical="center"/>
    </xf>
    <xf numFmtId="0" fontId="51" fillId="0" borderId="0" xfId="0" applyFont="1"/>
    <xf numFmtId="0" fontId="2" fillId="5" borderId="0" xfId="3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4" fontId="2" fillId="5" borderId="1" xfId="0" applyNumberFormat="1" applyFont="1" applyFill="1" applyBorder="1" applyAlignment="1">
      <alignment horizontal="right" vertical="center"/>
    </xf>
    <xf numFmtId="0" fontId="50" fillId="5" borderId="0" xfId="3" applyFont="1" applyFill="1" applyBorder="1" applyAlignment="1">
      <alignment horizontal="center" vertical="center"/>
    </xf>
    <xf numFmtId="0" fontId="50" fillId="5" borderId="0" xfId="3" applyFont="1" applyFill="1" applyBorder="1" applyAlignment="1">
      <alignment vertical="center"/>
    </xf>
    <xf numFmtId="0" fontId="50" fillId="5" borderId="0" xfId="3" applyFont="1" applyFill="1" applyAlignment="1">
      <alignment vertical="center"/>
    </xf>
    <xf numFmtId="0" fontId="3" fillId="0" borderId="1" xfId="3" applyFont="1" applyFill="1" applyBorder="1" applyAlignment="1">
      <alignment horizontal="left" vertical="center" wrapText="1"/>
    </xf>
    <xf numFmtId="0" fontId="2" fillId="5" borderId="28" xfId="3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center" vertical="center" wrapText="1"/>
    </xf>
    <xf numFmtId="0" fontId="2" fillId="0" borderId="1" xfId="3" applyFont="1" applyBorder="1" applyAlignment="1">
      <alignment horizontal="left" vertical="center" wrapText="1"/>
    </xf>
    <xf numFmtId="0" fontId="2" fillId="0" borderId="1" xfId="3" applyFon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9" fontId="2" fillId="0" borderId="1" xfId="3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2" fillId="0" borderId="0" xfId="0" applyFont="1"/>
    <xf numFmtId="0" fontId="52" fillId="0" borderId="0" xfId="0" applyFont="1" applyAlignment="1">
      <alignment horizontal="center"/>
    </xf>
    <xf numFmtId="0" fontId="52" fillId="0" borderId="0" xfId="0" applyFont="1" applyAlignment="1">
      <alignment vertical="center"/>
    </xf>
    <xf numFmtId="0" fontId="52" fillId="0" borderId="0" xfId="0" applyFont="1" applyAlignment="1">
      <alignment horizontal="right" vertical="center"/>
    </xf>
    <xf numFmtId="10" fontId="52" fillId="0" borderId="0" xfId="0" applyNumberFormat="1" applyFont="1" applyAlignment="1">
      <alignment horizontal="center"/>
    </xf>
    <xf numFmtId="9" fontId="52" fillId="0" borderId="0" xfId="0" applyNumberFormat="1" applyFont="1" applyAlignment="1">
      <alignment horizontal="center"/>
    </xf>
    <xf numFmtId="10" fontId="52" fillId="0" borderId="0" xfId="0" applyNumberFormat="1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/>
    </xf>
    <xf numFmtId="0" fontId="5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52" fillId="0" borderId="0" xfId="0" applyFont="1" applyFill="1"/>
    <xf numFmtId="0" fontId="52" fillId="0" borderId="0" xfId="0" applyFont="1" applyFill="1" applyAlignment="1">
      <alignment horizontal="center"/>
    </xf>
    <xf numFmtId="0" fontId="52" fillId="0" borderId="0" xfId="0" applyFont="1" applyFill="1" applyAlignment="1">
      <alignment vertical="center"/>
    </xf>
    <xf numFmtId="0" fontId="52" fillId="0" borderId="0" xfId="0" applyFont="1" applyFill="1" applyAlignment="1">
      <alignment horizontal="right" vertical="center"/>
    </xf>
    <xf numFmtId="10" fontId="52" fillId="0" borderId="0" xfId="0" applyNumberFormat="1" applyFont="1" applyFill="1" applyAlignment="1">
      <alignment horizontal="center"/>
    </xf>
    <xf numFmtId="10" fontId="52" fillId="0" borderId="0" xfId="0" applyNumberFormat="1" applyFont="1" applyFill="1"/>
    <xf numFmtId="0" fontId="2" fillId="0" borderId="28" xfId="0" applyFont="1" applyFill="1" applyBorder="1" applyAlignment="1">
      <alignment horizontal="left" vertical="center"/>
    </xf>
    <xf numFmtId="4" fontId="2" fillId="0" borderId="28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/>
    </xf>
    <xf numFmtId="4" fontId="2" fillId="0" borderId="28" xfId="0" applyNumberFormat="1" applyFont="1" applyBorder="1" applyAlignment="1">
      <alignment horizontal="right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49" fontId="2" fillId="5" borderId="28" xfId="0" applyNumberFormat="1" applyFont="1" applyFill="1" applyBorder="1" applyAlignment="1">
      <alignment horizontal="center" vertical="center"/>
    </xf>
    <xf numFmtId="166" fontId="52" fillId="0" borderId="0" xfId="0" applyNumberFormat="1" applyFont="1" applyBorder="1" applyAlignment="1">
      <alignment horizontal="right" vertical="center"/>
    </xf>
    <xf numFmtId="0" fontId="44" fillId="0" borderId="46" xfId="3" applyFont="1" applyFill="1" applyBorder="1" applyAlignment="1">
      <alignment horizontal="left" vertical="center" wrapText="1"/>
    </xf>
    <xf numFmtId="0" fontId="44" fillId="0" borderId="0" xfId="3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left" wrapText="1"/>
    </xf>
    <xf numFmtId="0" fontId="3" fillId="4" borderId="42" xfId="3" applyFont="1" applyFill="1" applyBorder="1" applyAlignment="1">
      <alignment horizontal="left" vertical="center"/>
    </xf>
    <xf numFmtId="0" fontId="44" fillId="4" borderId="41" xfId="3" applyFont="1" applyFill="1" applyBorder="1" applyAlignment="1">
      <alignment horizontal="center" vertical="center"/>
    </xf>
    <xf numFmtId="0" fontId="44" fillId="4" borderId="42" xfId="3" applyFont="1" applyFill="1" applyBorder="1" applyAlignment="1">
      <alignment horizontal="center" vertical="center"/>
    </xf>
    <xf numFmtId="0" fontId="44" fillId="4" borderId="53" xfId="3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left" vertical="center"/>
    </xf>
    <xf numFmtId="0" fontId="3" fillId="4" borderId="53" xfId="3" applyFont="1" applyFill="1" applyBorder="1" applyAlignment="1">
      <alignment horizontal="left" vertical="center"/>
    </xf>
    <xf numFmtId="0" fontId="3" fillId="39" borderId="43" xfId="3" applyFont="1" applyFill="1" applyBorder="1" applyAlignment="1">
      <alignment horizontal="right" vertical="center" wrapText="1"/>
    </xf>
    <xf numFmtId="0" fontId="3" fillId="39" borderId="2" xfId="3" applyFont="1" applyFill="1" applyBorder="1" applyAlignment="1">
      <alignment horizontal="right" vertical="center" wrapText="1"/>
    </xf>
    <xf numFmtId="0" fontId="3" fillId="4" borderId="4" xfId="3" applyFont="1" applyFill="1" applyBorder="1" applyAlignment="1">
      <alignment horizontal="left" vertical="center"/>
    </xf>
    <xf numFmtId="0" fontId="3" fillId="4" borderId="5" xfId="3" applyFont="1" applyFill="1" applyBorder="1" applyAlignment="1">
      <alignment horizontal="left" vertical="center"/>
    </xf>
    <xf numFmtId="0" fontId="3" fillId="4" borderId="6" xfId="3" applyFont="1" applyFill="1" applyBorder="1" applyAlignment="1">
      <alignment horizontal="left" vertical="center"/>
    </xf>
    <xf numFmtId="0" fontId="3" fillId="4" borderId="3" xfId="3" applyFont="1" applyFill="1" applyBorder="1" applyAlignment="1">
      <alignment horizontal="left" vertical="center"/>
    </xf>
    <xf numFmtId="0" fontId="44" fillId="4" borderId="41" xfId="3" applyFont="1" applyFill="1" applyBorder="1" applyAlignment="1">
      <alignment horizontal="right" vertical="center"/>
    </xf>
    <xf numFmtId="0" fontId="44" fillId="4" borderId="42" xfId="3" applyFont="1" applyFill="1" applyBorder="1" applyAlignment="1">
      <alignment horizontal="right" vertical="center"/>
    </xf>
    <xf numFmtId="0" fontId="44" fillId="0" borderId="0" xfId="3" applyFont="1" applyFill="1" applyBorder="1" applyAlignment="1">
      <alignment horizontal="left" vertical="center" wrapText="1"/>
    </xf>
    <xf numFmtId="0" fontId="26" fillId="38" borderId="0" xfId="0" applyFont="1" applyFill="1" applyAlignment="1">
      <alignment horizontal="left" vertic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9" fillId="0" borderId="56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0" fontId="9" fillId="0" borderId="59" xfId="0" applyFont="1" applyFill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9" fillId="0" borderId="61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54" xfId="0" applyFont="1" applyBorder="1" applyAlignment="1">
      <alignment horizontal="left"/>
    </xf>
    <xf numFmtId="0" fontId="9" fillId="0" borderId="56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9" fillId="0" borderId="35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5" xfId="0" applyFont="1" applyFill="1" applyBorder="1" applyAlignment="1">
      <alignment horizontal="center"/>
    </xf>
    <xf numFmtId="0" fontId="46" fillId="4" borderId="41" xfId="0" applyFont="1" applyFill="1" applyBorder="1" applyAlignment="1">
      <alignment horizontal="center"/>
    </xf>
    <xf numFmtId="0" fontId="46" fillId="4" borderId="42" xfId="0" applyFont="1" applyFill="1" applyBorder="1" applyAlignment="1">
      <alignment horizontal="center"/>
    </xf>
    <xf numFmtId="0" fontId="9" fillId="0" borderId="54" xfId="0" applyFont="1" applyBorder="1" applyAlignment="1">
      <alignment horizontal="left" wrapText="1"/>
    </xf>
    <xf numFmtId="0" fontId="9" fillId="0" borderId="56" xfId="0" applyFont="1" applyBorder="1" applyAlignment="1">
      <alignment horizontal="left" wrapText="1"/>
    </xf>
    <xf numFmtId="0" fontId="9" fillId="5" borderId="1" xfId="0" applyFont="1" applyFill="1" applyBorder="1" applyAlignment="1">
      <alignment horizontal="center"/>
    </xf>
    <xf numFmtId="0" fontId="9" fillId="5" borderId="54" xfId="0" applyFont="1" applyFill="1" applyBorder="1" applyAlignment="1">
      <alignment horizontal="center"/>
    </xf>
    <xf numFmtId="0" fontId="9" fillId="5" borderId="56" xfId="0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35" xfId="0" applyFont="1" applyBorder="1" applyAlignment="1">
      <alignment horizontal="center" wrapText="1"/>
    </xf>
    <xf numFmtId="0" fontId="9" fillId="5" borderId="8" xfId="0" applyFont="1" applyFill="1" applyBorder="1" applyAlignment="1">
      <alignment horizontal="center"/>
    </xf>
    <xf numFmtId="2" fontId="26" fillId="39" borderId="37" xfId="0" applyNumberFormat="1" applyFont="1" applyFill="1" applyBorder="1" applyAlignment="1">
      <alignment horizontal="right"/>
    </xf>
    <xf numFmtId="2" fontId="26" fillId="39" borderId="38" xfId="0" applyNumberFormat="1" applyFont="1" applyFill="1" applyBorder="1" applyAlignment="1">
      <alignment horizontal="right"/>
    </xf>
    <xf numFmtId="0" fontId="35" fillId="0" borderId="27" xfId="0" applyFont="1" applyBorder="1" applyAlignment="1">
      <alignment horizontal="center" vertical="top"/>
    </xf>
    <xf numFmtId="0" fontId="33" fillId="0" borderId="26" xfId="0" applyFont="1" applyFill="1" applyBorder="1" applyAlignment="1" applyProtection="1">
      <alignment horizontal="center"/>
      <protection locked="0"/>
    </xf>
    <xf numFmtId="10" fontId="35" fillId="0" borderId="27" xfId="2" applyNumberFormat="1" applyFont="1" applyBorder="1" applyAlignment="1">
      <alignment horizontal="center" vertical="top"/>
    </xf>
    <xf numFmtId="49" fontId="31" fillId="5" borderId="0" xfId="2" applyNumberFormat="1" applyFont="1" applyFill="1" applyBorder="1" applyAlignment="1" applyProtection="1">
      <alignment shrinkToFit="1"/>
      <protection locked="0"/>
    </xf>
    <xf numFmtId="49" fontId="31" fillId="5" borderId="23" xfId="2" applyNumberFormat="1" applyFont="1" applyFill="1" applyBorder="1" applyAlignment="1" applyProtection="1">
      <alignment shrinkToFit="1"/>
      <protection locked="0"/>
    </xf>
    <xf numFmtId="0" fontId="31" fillId="0" borderId="4" xfId="0" applyFont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31" fillId="0" borderId="6" xfId="0" applyFont="1" applyBorder="1" applyAlignment="1">
      <alignment horizontal="center"/>
    </xf>
    <xf numFmtId="49" fontId="31" fillId="5" borderId="0" xfId="0" applyNumberFormat="1" applyFont="1" applyFill="1" applyBorder="1" applyAlignment="1" applyProtection="1">
      <alignment horizontal="left" shrinkToFit="1"/>
      <protection locked="0"/>
    </xf>
    <xf numFmtId="49" fontId="31" fillId="5" borderId="23" xfId="0" applyNumberFormat="1" applyFont="1" applyFill="1" applyBorder="1" applyAlignment="1" applyProtection="1">
      <alignment horizontal="left" shrinkToFit="1"/>
      <protection locked="0"/>
    </xf>
    <xf numFmtId="49" fontId="31" fillId="5" borderId="26" xfId="2" applyNumberFormat="1" applyFont="1" applyFill="1" applyBorder="1" applyAlignment="1" applyProtection="1">
      <alignment horizontal="center" shrinkToFit="1"/>
      <protection locked="0"/>
    </xf>
    <xf numFmtId="10" fontId="38" fillId="3" borderId="1" xfId="0" applyNumberFormat="1" applyFont="1" applyFill="1" applyBorder="1" applyAlignment="1">
      <alignment horizontal="center" vertical="center" wrapText="1"/>
    </xf>
    <xf numFmtId="0" fontId="38" fillId="3" borderId="8" xfId="0" applyNumberFormat="1" applyFont="1" applyFill="1" applyBorder="1" applyAlignment="1">
      <alignment horizontal="center" vertical="center" wrapText="1"/>
    </xf>
    <xf numFmtId="0" fontId="38" fillId="3" borderId="9" xfId="0" applyNumberFormat="1" applyFont="1" applyFill="1" applyBorder="1" applyAlignment="1">
      <alignment horizontal="center" vertical="center" wrapText="1"/>
    </xf>
    <xf numFmtId="0" fontId="38" fillId="3" borderId="32" xfId="0" applyNumberFormat="1" applyFont="1" applyFill="1" applyBorder="1" applyAlignment="1">
      <alignment horizontal="center" vertical="center" wrapText="1"/>
    </xf>
    <xf numFmtId="10" fontId="3" fillId="4" borderId="8" xfId="0" applyNumberFormat="1" applyFont="1" applyFill="1" applyBorder="1" applyAlignment="1">
      <alignment horizontal="center" vertical="center" wrapText="1"/>
    </xf>
    <xf numFmtId="10" fontId="38" fillId="4" borderId="8" xfId="0" applyNumberFormat="1" applyFont="1" applyFill="1" applyBorder="1" applyAlignment="1">
      <alignment horizontal="center" vertical="center" wrapText="1"/>
    </xf>
    <xf numFmtId="10" fontId="38" fillId="2" borderId="1" xfId="0" applyNumberFormat="1" applyFont="1" applyFill="1" applyBorder="1" applyAlignment="1">
      <alignment horizontal="center" vertical="center" wrapText="1"/>
    </xf>
    <xf numFmtId="10" fontId="3" fillId="4" borderId="28" xfId="0" applyNumberFormat="1" applyFont="1" applyFill="1" applyBorder="1" applyAlignment="1">
      <alignment horizontal="center" vertical="center" wrapText="1"/>
    </xf>
    <xf numFmtId="10" fontId="38" fillId="4" borderId="28" xfId="0" applyNumberFormat="1" applyFont="1" applyFill="1" applyBorder="1" applyAlignment="1">
      <alignment horizontal="center" vertical="center" wrapText="1"/>
    </xf>
    <xf numFmtId="166" fontId="48" fillId="0" borderId="21" xfId="0" applyNumberFormat="1" applyFont="1" applyBorder="1" applyAlignment="1">
      <alignment horizontal="left" vertical="center" wrapText="1"/>
    </xf>
    <xf numFmtId="0" fontId="48" fillId="0" borderId="7" xfId="0" applyFont="1" applyBorder="1" applyAlignment="1">
      <alignment horizontal="left" vertical="center" wrapText="1"/>
    </xf>
    <xf numFmtId="166" fontId="48" fillId="0" borderId="20" xfId="0" applyNumberFormat="1" applyFont="1" applyBorder="1" applyAlignment="1">
      <alignment horizontal="center" vertical="center" wrapText="1"/>
    </xf>
    <xf numFmtId="0" fontId="48" fillId="0" borderId="24" xfId="0" applyFont="1" applyBorder="1" applyAlignment="1">
      <alignment horizontal="center" vertical="center" wrapText="1"/>
    </xf>
    <xf numFmtId="166" fontId="48" fillId="0" borderId="21" xfId="0" applyNumberFormat="1" applyFont="1" applyBorder="1" applyAlignment="1">
      <alignment horizontal="center" vertical="center" wrapText="1"/>
    </xf>
    <xf numFmtId="0" fontId="2" fillId="0" borderId="21" xfId="3" applyFont="1" applyFill="1" applyBorder="1" applyAlignment="1">
      <alignment horizontal="center" wrapText="1"/>
    </xf>
    <xf numFmtId="4" fontId="2" fillId="0" borderId="21" xfId="4" applyNumberFormat="1" applyFont="1" applyFill="1" applyBorder="1" applyAlignment="1">
      <alignment horizontal="right" vertical="center"/>
    </xf>
    <xf numFmtId="0" fontId="2" fillId="0" borderId="21" xfId="3" applyFont="1" applyFill="1" applyBorder="1" applyAlignment="1">
      <alignment horizontal="center" vertical="center"/>
    </xf>
    <xf numFmtId="44" fontId="2" fillId="0" borderId="21" xfId="1" applyFont="1" applyFill="1" applyBorder="1" applyAlignment="1">
      <alignment horizontal="right" vertical="center"/>
    </xf>
    <xf numFmtId="0" fontId="2" fillId="0" borderId="21" xfId="3" applyFont="1" applyFill="1" applyBorder="1" applyAlignment="1">
      <alignment horizontal="right" vertical="center"/>
    </xf>
    <xf numFmtId="10" fontId="2" fillId="0" borderId="21" xfId="3" applyNumberFormat="1" applyFont="1" applyFill="1" applyBorder="1" applyAlignment="1">
      <alignment horizontal="center" vertical="center"/>
    </xf>
    <xf numFmtId="9" fontId="2" fillId="0" borderId="21" xfId="3" applyNumberFormat="1" applyFont="1" applyFill="1" applyBorder="1" applyAlignment="1">
      <alignment horizontal="center" vertical="center"/>
    </xf>
    <xf numFmtId="10" fontId="2" fillId="0" borderId="19" xfId="3" applyNumberFormat="1" applyFont="1" applyFill="1" applyBorder="1" applyAlignment="1">
      <alignment horizontal="center" vertical="center"/>
    </xf>
    <xf numFmtId="0" fontId="48" fillId="0" borderId="7" xfId="0" applyFont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wrapText="1"/>
    </xf>
    <xf numFmtId="4" fontId="2" fillId="0" borderId="7" xfId="4" applyNumberFormat="1" applyFont="1" applyFill="1" applyBorder="1" applyAlignment="1">
      <alignment horizontal="right" vertical="center"/>
    </xf>
    <xf numFmtId="0" fontId="2" fillId="0" borderId="7" xfId="3" applyFont="1" applyFill="1" applyBorder="1" applyAlignment="1">
      <alignment horizontal="center" vertical="center"/>
    </xf>
    <xf numFmtId="44" fontId="2" fillId="0" borderId="7" xfId="1" applyFont="1" applyFill="1" applyBorder="1" applyAlignment="1">
      <alignment horizontal="right" vertical="center"/>
    </xf>
    <xf numFmtId="0" fontId="2" fillId="0" borderId="7" xfId="3" applyFont="1" applyFill="1" applyBorder="1" applyAlignment="1">
      <alignment horizontal="right" vertical="center"/>
    </xf>
    <xf numFmtId="10" fontId="2" fillId="0" borderId="7" xfId="3" applyNumberFormat="1" applyFont="1" applyFill="1" applyBorder="1" applyAlignment="1">
      <alignment horizontal="center" vertical="center"/>
    </xf>
    <xf numFmtId="9" fontId="2" fillId="0" borderId="7" xfId="3" applyNumberFormat="1" applyFont="1" applyFill="1" applyBorder="1" applyAlignment="1">
      <alignment horizontal="center" vertical="center"/>
    </xf>
    <xf numFmtId="10" fontId="2" fillId="0" borderId="25" xfId="3" applyNumberFormat="1" applyFont="1" applyFill="1" applyBorder="1" applyAlignment="1">
      <alignment horizontal="center" vertical="center"/>
    </xf>
    <xf numFmtId="0" fontId="9" fillId="0" borderId="22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4" fontId="9" fillId="0" borderId="49" xfId="1" applyFont="1" applyBorder="1"/>
    <xf numFmtId="0" fontId="9" fillId="0" borderId="0" xfId="0" applyFont="1" applyBorder="1"/>
    <xf numFmtId="44" fontId="9" fillId="0" borderId="0" xfId="1" applyFont="1" applyFill="1" applyBorder="1" applyAlignment="1">
      <alignment horizontal="center" vertical="center"/>
    </xf>
    <xf numFmtId="0" fontId="2" fillId="0" borderId="46" xfId="3" applyFont="1" applyFill="1" applyBorder="1" applyAlignment="1">
      <alignment vertical="center"/>
    </xf>
  </cellXfs>
  <cellStyles count="49">
    <cellStyle name="20% - Ênfase1" xfId="26" builtinId="30" customBuiltin="1"/>
    <cellStyle name="20% - Ênfase2" xfId="30" builtinId="34" customBuiltin="1"/>
    <cellStyle name="20% - Ênfase3" xfId="34" builtinId="38" customBuiltin="1"/>
    <cellStyle name="20% - Ênfase4" xfId="38" builtinId="42" customBuiltin="1"/>
    <cellStyle name="20% - Ênfase5" xfId="42" builtinId="46" customBuiltin="1"/>
    <cellStyle name="20% - Ênfase6" xfId="46" builtinId="50" customBuiltin="1"/>
    <cellStyle name="40% - Ênfase1" xfId="27" builtinId="31" customBuiltin="1"/>
    <cellStyle name="40% - Ênfase2" xfId="31" builtinId="35" customBuiltin="1"/>
    <cellStyle name="40% - Ênfase3" xfId="35" builtinId="39" customBuiltin="1"/>
    <cellStyle name="40% - Ênfase4" xfId="39" builtinId="43" customBuiltin="1"/>
    <cellStyle name="40% - Ênfase5" xfId="43" builtinId="47" customBuiltin="1"/>
    <cellStyle name="40% - Ênfase6" xfId="47" builtinId="51" customBuiltin="1"/>
    <cellStyle name="60% - Ênfase1" xfId="28" builtinId="32" customBuiltin="1"/>
    <cellStyle name="60% - Ênfase2" xfId="32" builtinId="36" customBuiltin="1"/>
    <cellStyle name="60% - Ênfase3" xfId="36" builtinId="40" customBuiltin="1"/>
    <cellStyle name="60% - Ênfase4" xfId="40" builtinId="44" customBuiltin="1"/>
    <cellStyle name="60% - Ênfase5" xfId="44" builtinId="48" customBuiltin="1"/>
    <cellStyle name="60% - Ênfase6" xfId="48" builtinId="52" customBuiltin="1"/>
    <cellStyle name="Bom" xfId="13" builtinId="26" customBuiltin="1"/>
    <cellStyle name="Cálculo" xfId="18" builtinId="22" customBuiltin="1"/>
    <cellStyle name="Célula de Verificação" xfId="20" builtinId="23" customBuiltin="1"/>
    <cellStyle name="Célula Vinculada" xfId="19" builtinId="24" customBuiltin="1"/>
    <cellStyle name="Ênfase1" xfId="25" builtinId="29" customBuiltin="1"/>
    <cellStyle name="Ênfase2" xfId="29" builtinId="33" customBuiltin="1"/>
    <cellStyle name="Ênfase3" xfId="33" builtinId="37" customBuiltin="1"/>
    <cellStyle name="Ênfase4" xfId="37" builtinId="41" customBuiltin="1"/>
    <cellStyle name="Ênfase5" xfId="41" builtinId="45" customBuiltin="1"/>
    <cellStyle name="Ênfase6" xfId="45" builtinId="49" customBuiltin="1"/>
    <cellStyle name="Entrada" xfId="16" builtinId="20" customBuiltin="1"/>
    <cellStyle name="Excel Built-in Excel Built-in Excel Built-in Excel Built-in Excel Built-in Excel Built-in Excel Built-in Separador de milhares 4" xfId="5" xr:uid="{00000000-0005-0000-0000-00001D000000}"/>
    <cellStyle name="Excel Built-in Normal" xfId="6" xr:uid="{00000000-0005-0000-0000-00001E000000}"/>
    <cellStyle name="Moeda" xfId="1" builtinId="4"/>
    <cellStyle name="Neutro" xfId="15" builtinId="28" customBuiltin="1"/>
    <cellStyle name="Normal" xfId="0" builtinId="0"/>
    <cellStyle name="Normal 2" xfId="3" xr:uid="{00000000-0005-0000-0000-000023000000}"/>
    <cellStyle name="Normal 3 3" xfId="7" xr:uid="{00000000-0005-0000-0000-000024000000}"/>
    <cellStyle name="Nota" xfId="22" builtinId="10" customBuiltin="1"/>
    <cellStyle name="Porcentagem" xfId="2" builtinId="5"/>
    <cellStyle name="Ruim" xfId="14" builtinId="27" customBuiltin="1"/>
    <cellStyle name="Saída" xfId="17" builtinId="21" customBuiltin="1"/>
    <cellStyle name="Texto de Aviso" xfId="21" builtinId="11" customBuiltin="1"/>
    <cellStyle name="Texto Explicativo" xfId="23" builtinId="53" customBuiltin="1"/>
    <cellStyle name="Título" xfId="8" builtinId="15" customBuiltin="1"/>
    <cellStyle name="Título 1" xfId="9" builtinId="16" customBuiltin="1"/>
    <cellStyle name="Título 2" xfId="10" builtinId="17" customBuiltin="1"/>
    <cellStyle name="Título 3" xfId="11" builtinId="18" customBuiltin="1"/>
    <cellStyle name="Título 4" xfId="12" builtinId="19" customBuiltin="1"/>
    <cellStyle name="Total" xfId="24" builtinId="25" customBuiltin="1"/>
    <cellStyle name="Vírgula 2" xfId="4" xr:uid="{00000000-0005-0000-0000-000030000000}"/>
  </cellStyles>
  <dxfs count="28">
    <dxf>
      <font>
        <b/>
        <i val="0"/>
        <color rgb="FFC00000"/>
      </font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2.gif@01CF07A2.6B8A5D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63954</xdr:colOff>
      <xdr:row>1</xdr:row>
      <xdr:rowOff>250372</xdr:rowOff>
    </xdr:from>
    <xdr:to>
      <xdr:col>3</xdr:col>
      <xdr:colOff>910421</xdr:colOff>
      <xdr:row>3</xdr:row>
      <xdr:rowOff>141515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1164" t="46739" r="43210" b="37263"/>
        <a:stretch/>
      </xdr:blipFill>
      <xdr:spPr bwMode="auto">
        <a:xfrm>
          <a:off x="172811" y="424543"/>
          <a:ext cx="2577296" cy="6531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338275</xdr:colOff>
      <xdr:row>11</xdr:row>
      <xdr:rowOff>82733</xdr:rowOff>
    </xdr:from>
    <xdr:to>
      <xdr:col>1</xdr:col>
      <xdr:colOff>2811780</xdr:colOff>
      <xdr:row>12</xdr:row>
      <xdr:rowOff>312420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A91BFE1-EA92-424F-93CF-0ED49C44CA1A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1164" t="46739" r="43210" b="37263"/>
        <a:stretch/>
      </xdr:blipFill>
      <xdr:spPr bwMode="auto">
        <a:xfrm>
          <a:off x="772615" y="2102033"/>
          <a:ext cx="2473505" cy="6106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7620</xdr:rowOff>
    </xdr:from>
    <xdr:to>
      <xdr:col>2</xdr:col>
      <xdr:colOff>1259036</xdr:colOff>
      <xdr:row>3</xdr:row>
      <xdr:rowOff>218803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5C47B9F-25DC-4318-91F4-329FA9FCC5A4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1164" t="46739" r="43210" b="37263"/>
        <a:stretch/>
      </xdr:blipFill>
      <xdr:spPr bwMode="auto">
        <a:xfrm>
          <a:off x="121920" y="228600"/>
          <a:ext cx="2577296" cy="6531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1</xdr:row>
      <xdr:rowOff>44823</xdr:rowOff>
    </xdr:from>
    <xdr:to>
      <xdr:col>2</xdr:col>
      <xdr:colOff>398872</xdr:colOff>
      <xdr:row>4</xdr:row>
      <xdr:rowOff>25613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DB51C0D-E689-4B67-A37E-603CD6DB0578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1164" t="46739" r="43210" b="37263"/>
        <a:stretch/>
      </xdr:blipFill>
      <xdr:spPr bwMode="auto">
        <a:xfrm>
          <a:off x="107576" y="224117"/>
          <a:ext cx="2577296" cy="6531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34</xdr:row>
      <xdr:rowOff>123825</xdr:rowOff>
    </xdr:from>
    <xdr:to>
      <xdr:col>6</xdr:col>
      <xdr:colOff>314325</xdr:colOff>
      <xdr:row>36</xdr:row>
      <xdr:rowOff>95250</xdr:rowOff>
    </xdr:to>
    <xdr:pic>
      <xdr:nvPicPr>
        <xdr:cNvPr id="10" name="Imagem_x0020_1" descr="cid:image002.gif@01CF07A2.6B8A5D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0" y="6410325"/>
          <a:ext cx="21050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38100</xdr:colOff>
      <xdr:row>34</xdr:row>
      <xdr:rowOff>123825</xdr:rowOff>
    </xdr:from>
    <xdr:to>
      <xdr:col>6</xdr:col>
      <xdr:colOff>314325</xdr:colOff>
      <xdr:row>36</xdr:row>
      <xdr:rowOff>95250</xdr:rowOff>
    </xdr:to>
    <xdr:pic>
      <xdr:nvPicPr>
        <xdr:cNvPr id="11" name="Imagem_x0020_1" descr="cid:image002.gif@01CF07A2.6B8A5D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0" y="6410325"/>
          <a:ext cx="21050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144780</xdr:colOff>
      <xdr:row>0</xdr:row>
      <xdr:rowOff>114300</xdr:rowOff>
    </xdr:from>
    <xdr:to>
      <xdr:col>4</xdr:col>
      <xdr:colOff>283676</xdr:colOff>
      <xdr:row>4</xdr:row>
      <xdr:rowOff>142603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770B7E6-72B0-4A8C-BD44-E524E725C929}"/>
            </a:ext>
          </a:extLst>
        </xdr:cNvPr>
        <xdr:cNvPicPr/>
      </xdr:nvPicPr>
      <xdr:blipFill rotWithShape="1">
        <a:blip xmlns:r="http://schemas.openxmlformats.org/officeDocument/2006/relationships" r:embed="rId3"/>
        <a:srcRect l="21164" t="46739" r="43210" b="37263"/>
        <a:stretch/>
      </xdr:blipFill>
      <xdr:spPr bwMode="auto">
        <a:xfrm>
          <a:off x="144780" y="114300"/>
          <a:ext cx="2577296" cy="6531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utador1/Downloads/1546586_ANEXO_VIII___Planilha_calculo_do_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álculo BDI"/>
      <sheetName val="Tabelas"/>
    </sheetNames>
    <sheetDataSet>
      <sheetData sheetId="0" refreshError="1"/>
      <sheetData sheetId="1">
        <row r="8">
          <cell r="B8" t="str">
            <v xml:space="preserve">Construção de edifícios </v>
          </cell>
          <cell r="C8">
            <v>0.2034</v>
          </cell>
          <cell r="D8">
            <v>0.25</v>
          </cell>
          <cell r="E8">
            <v>0.22339999999999999</v>
          </cell>
          <cell r="F8">
            <v>0.27229999999999999</v>
          </cell>
          <cell r="G8">
            <v>0.03</v>
          </cell>
          <cell r="H8">
            <v>5.5E-2</v>
          </cell>
          <cell r="I8">
            <v>8.0000000000000002E-3</v>
          </cell>
          <cell r="J8">
            <v>0.01</v>
          </cell>
          <cell r="K8">
            <v>9.7000000000000003E-3</v>
          </cell>
          <cell r="L8">
            <v>1.2699999999999999E-2</v>
          </cell>
          <cell r="M8">
            <v>5.8999999999999999E-3</v>
          </cell>
          <cell r="N8">
            <v>1.3899999999999999E-2</v>
          </cell>
          <cell r="O8">
            <v>6.1600000000000002E-2</v>
          </cell>
          <cell r="P8">
            <v>8.9599999999999999E-2</v>
          </cell>
          <cell r="Q8" t="str">
            <v>(*)</v>
          </cell>
          <cell r="R8" t="str">
            <v>0 ou 2%</v>
          </cell>
        </row>
        <row r="9">
          <cell r="B9" t="str">
            <v>Rodovias e ferrovias</v>
          </cell>
          <cell r="C9">
            <v>0.19600000000000001</v>
          </cell>
          <cell r="D9">
            <v>0.24229999999999999</v>
          </cell>
          <cell r="E9">
            <v>0.216</v>
          </cell>
          <cell r="F9">
            <v>0.2646</v>
          </cell>
          <cell r="G9">
            <v>3.7999999999999999E-2</v>
          </cell>
          <cell r="H9">
            <v>4.6699999999999998E-2</v>
          </cell>
          <cell r="I9">
            <v>3.2000000000000002E-3</v>
          </cell>
          <cell r="J9">
            <v>7.4000000000000003E-3</v>
          </cell>
          <cell r="K9">
            <v>5.0000000000000001E-3</v>
          </cell>
          <cell r="L9">
            <v>9.7000000000000003E-3</v>
          </cell>
          <cell r="M9">
            <v>1.0200000000000001E-2</v>
          </cell>
          <cell r="N9">
            <v>1.21E-2</v>
          </cell>
          <cell r="O9">
            <v>6.6400000000000001E-2</v>
          </cell>
          <cell r="P9">
            <v>8.6900000000000005E-2</v>
          </cell>
          <cell r="Q9" t="str">
            <v>(*)</v>
          </cell>
          <cell r="R9" t="str">
            <v>0 ou 2%</v>
          </cell>
        </row>
        <row r="10">
          <cell r="B10" t="str">
            <v>Estações e redes de água e esgoto</v>
          </cell>
          <cell r="C10">
            <v>0.20760000000000001</v>
          </cell>
          <cell r="D10">
            <v>0.26440000000000002</v>
          </cell>
          <cell r="E10">
            <v>0.2276</v>
          </cell>
          <cell r="F10">
            <v>0.28670000000000001</v>
          </cell>
          <cell r="G10">
            <v>3.4299999999999997E-2</v>
          </cell>
          <cell r="H10">
            <v>6.7100000000000007E-2</v>
          </cell>
          <cell r="I10">
            <v>2.8E-3</v>
          </cell>
          <cell r="J10">
            <v>7.4999999999999997E-3</v>
          </cell>
          <cell r="K10">
            <v>0.01</v>
          </cell>
          <cell r="L10">
            <v>1.7399999999999999E-2</v>
          </cell>
          <cell r="M10">
            <v>9.4000000000000004E-3</v>
          </cell>
          <cell r="N10">
            <v>1.17E-2</v>
          </cell>
          <cell r="O10">
            <v>6.7400000000000002E-2</v>
          </cell>
          <cell r="P10">
            <v>9.4E-2</v>
          </cell>
          <cell r="Q10" t="str">
            <v>(*)</v>
          </cell>
          <cell r="R10" t="str">
            <v>0 ou 2%</v>
          </cell>
        </row>
        <row r="11">
          <cell r="B11" t="str">
            <v>Estações e redes de energia elétrica</v>
          </cell>
          <cell r="C11">
            <v>0.24</v>
          </cell>
          <cell r="D11">
            <v>0.27860000000000001</v>
          </cell>
          <cell r="E11">
            <v>0.26</v>
          </cell>
          <cell r="F11">
            <v>0.3009</v>
          </cell>
          <cell r="G11">
            <v>5.2900000000000003E-2</v>
          </cell>
          <cell r="H11">
            <v>7.9299999999999995E-2</v>
          </cell>
          <cell r="I11">
            <v>2.5000000000000001E-3</v>
          </cell>
          <cell r="J11">
            <v>5.5999999999999999E-3</v>
          </cell>
          <cell r="K11">
            <v>0.01</v>
          </cell>
          <cell r="L11">
            <v>1.9699999999999999E-2</v>
          </cell>
          <cell r="M11">
            <v>1.01E-2</v>
          </cell>
          <cell r="N11">
            <v>1.11E-2</v>
          </cell>
          <cell r="O11">
            <v>0.08</v>
          </cell>
          <cell r="P11">
            <v>9.5100000000000004E-2</v>
          </cell>
          <cell r="Q11" t="str">
            <v>(*)</v>
          </cell>
          <cell r="R11" t="str">
            <v>0 ou 2%</v>
          </cell>
        </row>
        <row r="12">
          <cell r="B12" t="str">
            <v>Portuárias, marítimas e fluviais</v>
          </cell>
          <cell r="C12">
            <v>0.22800000000000001</v>
          </cell>
          <cell r="D12">
            <v>0.3095</v>
          </cell>
          <cell r="E12">
            <v>0.248</v>
          </cell>
          <cell r="F12">
            <v>0.33179999999999998</v>
          </cell>
          <cell r="G12">
            <v>0.04</v>
          </cell>
          <cell r="H12">
            <v>7.85E-2</v>
          </cell>
          <cell r="I12">
            <v>8.0999999999999996E-3</v>
          </cell>
          <cell r="J12">
            <v>1.9900000000000001E-2</v>
          </cell>
          <cell r="K12">
            <v>1.46E-2</v>
          </cell>
          <cell r="L12">
            <v>3.1600000000000003E-2</v>
          </cell>
          <cell r="M12">
            <v>9.4000000000000004E-3</v>
          </cell>
          <cell r="N12">
            <v>1.3299999999999999E-2</v>
          </cell>
          <cell r="O12">
            <v>7.1400000000000005E-2</v>
          </cell>
          <cell r="P12">
            <v>0.1043</v>
          </cell>
          <cell r="Q12" t="str">
            <v>(*)</v>
          </cell>
          <cell r="R12" t="str">
            <v>0 ou 2%</v>
          </cell>
        </row>
        <row r="13">
          <cell r="B13" t="str">
            <v>Materiais e equipamentos (instalados)</v>
          </cell>
          <cell r="C13">
            <v>0.111</v>
          </cell>
          <cell r="D13">
            <v>0.16800000000000001</v>
          </cell>
          <cell r="E13">
            <v>0.13100000000000001</v>
          </cell>
          <cell r="F13">
            <v>0.188</v>
          </cell>
          <cell r="G13">
            <v>1.4999999999999999E-2</v>
          </cell>
          <cell r="H13">
            <v>4.4900000000000002E-2</v>
          </cell>
          <cell r="I13">
            <v>3.0000000000000001E-3</v>
          </cell>
          <cell r="J13">
            <v>8.2000000000000007E-3</v>
          </cell>
          <cell r="K13">
            <v>5.5999999999999999E-3</v>
          </cell>
          <cell r="L13">
            <v>8.8999999999999999E-3</v>
          </cell>
          <cell r="M13">
            <v>8.5000000000000006E-3</v>
          </cell>
          <cell r="N13">
            <v>1.11E-2</v>
          </cell>
          <cell r="O13">
            <v>3.5000000000000003E-2</v>
          </cell>
          <cell r="P13">
            <v>6.2199999999999998E-2</v>
          </cell>
          <cell r="Q13" t="str">
            <v>(*)</v>
          </cell>
          <cell r="R13" t="str">
            <v>0 ou 2%</v>
          </cell>
        </row>
        <row r="14">
          <cell r="B14" t="str">
            <v>Materiais e equipamentos (antecipado)</v>
          </cell>
          <cell r="C14">
            <v>0.1</v>
          </cell>
          <cell r="D14">
            <v>0.12</v>
          </cell>
          <cell r="E14">
            <v>0.1</v>
          </cell>
          <cell r="F14">
            <v>0.12</v>
          </cell>
          <cell r="G14">
            <v>1.4999999999999999E-2</v>
          </cell>
          <cell r="H14">
            <v>4.4900000000000002E-2</v>
          </cell>
          <cell r="I14">
            <v>3.0000000000000001E-3</v>
          </cell>
          <cell r="J14">
            <v>8.2000000000000007E-3</v>
          </cell>
          <cell r="K14">
            <v>5.5999999999999999E-3</v>
          </cell>
          <cell r="L14">
            <v>8.8999999999999999E-3</v>
          </cell>
          <cell r="M14">
            <v>8.5000000000000006E-3</v>
          </cell>
          <cell r="N14">
            <v>1.11E-2</v>
          </cell>
          <cell r="O14">
            <v>3.5000000000000003E-2</v>
          </cell>
          <cell r="P14">
            <v>6.2199999999999998E-2</v>
          </cell>
          <cell r="Q14" t="str">
            <v>(*)</v>
          </cell>
          <cell r="R14" t="str">
            <v>0 ou 2%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422"/>
  <sheetViews>
    <sheetView tabSelected="1" zoomScale="70" zoomScaleNormal="70" workbookViewId="0">
      <selection activeCell="K391" sqref="K391"/>
    </sheetView>
  </sheetViews>
  <sheetFormatPr defaultColWidth="9.109375" defaultRowHeight="13.2"/>
  <cols>
    <col min="1" max="1" width="1.5546875" style="14" customWidth="1"/>
    <col min="2" max="2" width="11.33203125" style="9" customWidth="1"/>
    <col min="3" max="3" width="13.88671875" style="10" bestFit="1" customWidth="1"/>
    <col min="4" max="4" width="15.109375" style="200" customWidth="1"/>
    <col min="5" max="5" width="8.6640625" style="10" hidden="1" customWidth="1"/>
    <col min="6" max="6" width="112.88671875" style="11" bestFit="1" customWidth="1"/>
    <col min="7" max="7" width="10.44140625" style="215" customWidth="1"/>
    <col min="8" max="8" width="7.5546875" style="9" customWidth="1"/>
    <col min="9" max="9" width="18.6640625" style="222" customWidth="1"/>
    <col min="10" max="10" width="17.5546875" style="235" customWidth="1"/>
    <col min="11" max="11" width="18.33203125" style="222" customWidth="1"/>
    <col min="12" max="12" width="13.5546875" style="236" customWidth="1"/>
    <col min="13" max="13" width="12.5546875" style="252" customWidth="1"/>
    <col min="14" max="14" width="12.5546875" style="236" customWidth="1"/>
    <col min="15" max="58" width="9.109375" style="13"/>
    <col min="59" max="16384" width="9.109375" style="1"/>
  </cols>
  <sheetData>
    <row r="1" spans="1:58" ht="13.8" thickBot="1">
      <c r="A1" s="2"/>
      <c r="B1" s="2"/>
      <c r="C1" s="3"/>
      <c r="D1" s="168"/>
      <c r="E1" s="3"/>
      <c r="F1" s="190"/>
      <c r="G1" s="206"/>
      <c r="H1" s="2"/>
      <c r="I1" s="29"/>
      <c r="J1" s="212"/>
      <c r="K1" s="29"/>
    </row>
    <row r="2" spans="1:58" ht="30" customHeight="1">
      <c r="A2" s="4"/>
      <c r="B2" s="314"/>
      <c r="C2" s="188"/>
      <c r="D2" s="201"/>
      <c r="E2" s="188"/>
      <c r="F2" s="522" t="s">
        <v>46</v>
      </c>
      <c r="G2" s="404"/>
      <c r="H2" s="405"/>
      <c r="I2" s="406"/>
      <c r="J2" s="223"/>
      <c r="K2" s="218"/>
      <c r="L2" s="237"/>
      <c r="M2" s="253"/>
      <c r="N2" s="306"/>
    </row>
    <row r="3" spans="1:58" ht="30" customHeight="1">
      <c r="A3" s="4"/>
      <c r="B3" s="315"/>
      <c r="C3" s="5"/>
      <c r="D3" s="184"/>
      <c r="E3" s="5"/>
      <c r="F3" s="523" t="s">
        <v>890</v>
      </c>
      <c r="G3" s="407"/>
      <c r="H3" s="408" t="s">
        <v>0</v>
      </c>
      <c r="I3" s="409">
        <v>0.20499999999999999</v>
      </c>
      <c r="J3" s="224"/>
      <c r="K3" s="29"/>
      <c r="L3" s="238"/>
      <c r="M3" s="254"/>
      <c r="N3" s="307"/>
    </row>
    <row r="4" spans="1:58" ht="30" customHeight="1" thickBot="1">
      <c r="A4" s="8"/>
      <c r="B4" s="248"/>
      <c r="C4" s="189"/>
      <c r="D4" s="198"/>
      <c r="E4" s="189"/>
      <c r="F4" s="203"/>
      <c r="G4" s="207"/>
      <c r="H4" s="216"/>
      <c r="I4" s="219"/>
      <c r="J4" s="225"/>
      <c r="K4" s="219"/>
      <c r="L4" s="239"/>
      <c r="M4" s="255"/>
      <c r="N4" s="308"/>
    </row>
    <row r="5" spans="1:58" ht="10.199999999999999" customHeight="1" thickBot="1">
      <c r="A5" s="8"/>
      <c r="B5" s="143"/>
      <c r="C5" s="8"/>
      <c r="D5" s="184"/>
      <c r="E5" s="8"/>
      <c r="F5" s="400"/>
      <c r="G5" s="208"/>
      <c r="H5" s="143"/>
      <c r="I5" s="220"/>
      <c r="J5" s="172"/>
      <c r="K5" s="220"/>
      <c r="L5" s="238"/>
      <c r="M5" s="254"/>
      <c r="N5" s="238"/>
    </row>
    <row r="6" spans="1:58" ht="30" customHeight="1" thickBot="1">
      <c r="A6" s="8"/>
      <c r="B6" s="530" t="s">
        <v>619</v>
      </c>
      <c r="C6" s="531"/>
      <c r="D6" s="531"/>
      <c r="E6" s="531"/>
      <c r="F6" s="531"/>
      <c r="G6" s="531"/>
      <c r="H6" s="531"/>
      <c r="I6" s="531"/>
      <c r="J6" s="531"/>
      <c r="K6" s="531"/>
      <c r="L6" s="531"/>
      <c r="M6" s="531"/>
      <c r="N6" s="532"/>
    </row>
    <row r="7" spans="1:58" ht="13.8" thickBot="1">
      <c r="A7" s="8"/>
      <c r="B7" s="143"/>
      <c r="C7" s="8"/>
      <c r="D7" s="184"/>
      <c r="E7" s="8"/>
      <c r="F7" s="4"/>
      <c r="G7" s="208"/>
      <c r="H7" s="143"/>
      <c r="I7" s="220"/>
      <c r="J7" s="172"/>
      <c r="K7" s="220"/>
    </row>
    <row r="8" spans="1:58" s="9" customFormat="1" ht="40.950000000000003" customHeight="1" thickBot="1">
      <c r="A8" s="143"/>
      <c r="B8" s="169" t="s">
        <v>2</v>
      </c>
      <c r="C8" s="170" t="s">
        <v>4</v>
      </c>
      <c r="D8" s="170" t="s">
        <v>3</v>
      </c>
      <c r="E8" s="245"/>
      <c r="F8" s="170" t="s">
        <v>5</v>
      </c>
      <c r="G8" s="317" t="s">
        <v>7</v>
      </c>
      <c r="H8" s="170" t="s">
        <v>6</v>
      </c>
      <c r="I8" s="181" t="s">
        <v>446</v>
      </c>
      <c r="J8" s="181" t="s">
        <v>445</v>
      </c>
      <c r="K8" s="181" t="s">
        <v>8</v>
      </c>
      <c r="L8" s="286" t="s">
        <v>380</v>
      </c>
      <c r="M8" s="287" t="s">
        <v>381</v>
      </c>
      <c r="N8" s="309" t="s">
        <v>436</v>
      </c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58" s="13" customFormat="1" ht="25.2" customHeight="1" thickBot="1">
      <c r="A9" s="8"/>
      <c r="B9" s="168"/>
      <c r="C9" s="168"/>
      <c r="D9" s="168"/>
      <c r="E9" s="8"/>
      <c r="F9" s="204"/>
      <c r="G9" s="206"/>
      <c r="H9" s="168"/>
      <c r="I9" s="29"/>
      <c r="J9" s="29"/>
      <c r="K9" s="29"/>
      <c r="L9" s="288"/>
      <c r="M9" s="289"/>
      <c r="N9" s="288"/>
    </row>
    <row r="10" spans="1:58" ht="25.2" customHeight="1" thickBot="1">
      <c r="A10" s="8"/>
      <c r="B10" s="192">
        <v>1</v>
      </c>
      <c r="C10" s="529" t="s">
        <v>393</v>
      </c>
      <c r="D10" s="529"/>
      <c r="E10" s="529"/>
      <c r="F10" s="529"/>
      <c r="G10" s="529"/>
      <c r="H10" s="529"/>
      <c r="I10" s="529"/>
      <c r="J10" s="529"/>
      <c r="K10" s="529"/>
      <c r="L10" s="529"/>
      <c r="M10" s="529"/>
      <c r="N10" s="534"/>
    </row>
    <row r="11" spans="1:58" s="13" customFormat="1" ht="25.2" customHeight="1">
      <c r="A11" s="8"/>
      <c r="B11" s="143"/>
      <c r="C11" s="143"/>
      <c r="D11" s="184"/>
      <c r="E11" s="8"/>
      <c r="F11" s="4"/>
      <c r="G11" s="208"/>
      <c r="H11" s="143"/>
      <c r="I11" s="220"/>
      <c r="J11" s="171"/>
      <c r="K11" s="172"/>
      <c r="L11" s="238"/>
      <c r="M11" s="254"/>
      <c r="N11" s="238"/>
    </row>
    <row r="12" spans="1:58" s="475" customFormat="1" ht="25.2" customHeight="1">
      <c r="A12" s="473"/>
      <c r="B12" s="486" t="s">
        <v>437</v>
      </c>
      <c r="C12" s="533" t="s">
        <v>9</v>
      </c>
      <c r="D12" s="533"/>
      <c r="E12" s="533"/>
      <c r="F12" s="533"/>
      <c r="G12" s="533"/>
      <c r="H12" s="533"/>
      <c r="I12" s="533"/>
      <c r="J12" s="533"/>
      <c r="K12" s="226">
        <f>SUM(K13:K19)</f>
        <v>11256.468308580001</v>
      </c>
      <c r="L12" s="240">
        <f>SUM(L13:L19)</f>
        <v>1</v>
      </c>
      <c r="M12" s="256">
        <f>K12/K28</f>
        <v>0.80753583107524873</v>
      </c>
      <c r="N12" s="240">
        <f>K12/K398</f>
        <v>1.7319763701891085E-2</v>
      </c>
      <c r="O12" s="474"/>
      <c r="P12" s="474"/>
      <c r="Q12" s="474"/>
      <c r="R12" s="474"/>
      <c r="S12" s="474"/>
      <c r="T12" s="474"/>
      <c r="U12" s="474"/>
      <c r="V12" s="474"/>
      <c r="W12" s="474"/>
      <c r="X12" s="474"/>
      <c r="Y12" s="474"/>
      <c r="Z12" s="474"/>
      <c r="AA12" s="474"/>
      <c r="AB12" s="474"/>
      <c r="AC12" s="474"/>
      <c r="AD12" s="474"/>
      <c r="AE12" s="474"/>
      <c r="AF12" s="474"/>
      <c r="AG12" s="474"/>
      <c r="AH12" s="474"/>
      <c r="AI12" s="474"/>
      <c r="AJ12" s="474"/>
      <c r="AK12" s="474"/>
      <c r="AL12" s="474"/>
      <c r="AM12" s="474"/>
      <c r="AN12" s="474"/>
      <c r="AO12" s="474"/>
      <c r="AP12" s="474"/>
      <c r="AQ12" s="474"/>
      <c r="AR12" s="474"/>
      <c r="AS12" s="474"/>
      <c r="AT12" s="474"/>
      <c r="AU12" s="474"/>
      <c r="AV12" s="474"/>
      <c r="AW12" s="474"/>
      <c r="AX12" s="474"/>
      <c r="AY12" s="474"/>
      <c r="AZ12" s="474"/>
      <c r="BA12" s="474"/>
      <c r="BB12" s="474"/>
      <c r="BC12" s="474"/>
      <c r="BD12" s="474"/>
      <c r="BE12" s="474"/>
      <c r="BF12" s="474"/>
    </row>
    <row r="13" spans="1:58" s="475" customFormat="1" ht="25.2" customHeight="1">
      <c r="A13" s="473"/>
      <c r="B13" s="487" t="s">
        <v>438</v>
      </c>
      <c r="C13" s="142" t="s">
        <v>10</v>
      </c>
      <c r="D13" s="45">
        <v>4813</v>
      </c>
      <c r="E13" s="16"/>
      <c r="F13" s="21" t="s">
        <v>362</v>
      </c>
      <c r="G13" s="173">
        <v>2.25</v>
      </c>
      <c r="H13" s="16" t="s">
        <v>11</v>
      </c>
      <c r="I13" s="19">
        <v>300</v>
      </c>
      <c r="J13" s="19">
        <f t="shared" ref="J13:J18" si="0">I13*$I$3+I13</f>
        <v>361.5</v>
      </c>
      <c r="K13" s="228">
        <f t="shared" ref="K13:K18" si="1">G13*J13</f>
        <v>813.375</v>
      </c>
      <c r="L13" s="242">
        <f>K13/K12</f>
        <v>7.2258454224050223E-2</v>
      </c>
      <c r="M13" s="258"/>
      <c r="N13" s="242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74"/>
      <c r="AE13" s="474"/>
      <c r="AF13" s="474"/>
      <c r="AG13" s="474"/>
      <c r="AH13" s="474"/>
      <c r="AI13" s="474"/>
      <c r="AJ13" s="474"/>
      <c r="AK13" s="474"/>
      <c r="AL13" s="474"/>
      <c r="AM13" s="474"/>
      <c r="AN13" s="474"/>
      <c r="AO13" s="474"/>
      <c r="AP13" s="474"/>
      <c r="AQ13" s="474"/>
      <c r="AR13" s="474"/>
      <c r="AS13" s="474"/>
      <c r="AT13" s="474"/>
      <c r="AU13" s="474"/>
      <c r="AV13" s="474"/>
      <c r="AW13" s="474"/>
      <c r="AX13" s="474"/>
      <c r="AY13" s="474"/>
      <c r="AZ13" s="474"/>
      <c r="BA13" s="474"/>
      <c r="BB13" s="474"/>
      <c r="BC13" s="474"/>
      <c r="BD13" s="474"/>
      <c r="BE13" s="474"/>
      <c r="BF13" s="474"/>
    </row>
    <row r="14" spans="1:58" s="475" customFormat="1" ht="25.2" customHeight="1">
      <c r="A14" s="473"/>
      <c r="B14" s="487" t="s">
        <v>439</v>
      </c>
      <c r="C14" s="142" t="s">
        <v>10</v>
      </c>
      <c r="D14" s="144">
        <v>95634</v>
      </c>
      <c r="E14" s="145"/>
      <c r="F14" s="21" t="s">
        <v>373</v>
      </c>
      <c r="G14" s="173">
        <v>1</v>
      </c>
      <c r="H14" s="16" t="s">
        <v>1</v>
      </c>
      <c r="I14" s="19">
        <v>117.47</v>
      </c>
      <c r="J14" s="19">
        <f t="shared" si="0"/>
        <v>141.55134999999999</v>
      </c>
      <c r="K14" s="228">
        <f t="shared" si="1"/>
        <v>141.55134999999999</v>
      </c>
      <c r="L14" s="242">
        <f>K14/K12</f>
        <v>1.2575112026221006E-2</v>
      </c>
      <c r="M14" s="258"/>
      <c r="N14" s="242"/>
      <c r="O14" s="474"/>
      <c r="P14" s="474"/>
      <c r="Q14" s="474"/>
      <c r="R14" s="474"/>
      <c r="S14" s="474"/>
      <c r="T14" s="474"/>
      <c r="U14" s="474"/>
      <c r="V14" s="474"/>
      <c r="W14" s="474"/>
      <c r="X14" s="474"/>
      <c r="Y14" s="474"/>
      <c r="Z14" s="474"/>
      <c r="AA14" s="474"/>
      <c r="AB14" s="474"/>
      <c r="AC14" s="474"/>
      <c r="AD14" s="474"/>
      <c r="AE14" s="474"/>
      <c r="AF14" s="474"/>
      <c r="AG14" s="474"/>
      <c r="AH14" s="474"/>
      <c r="AI14" s="474"/>
      <c r="AJ14" s="474"/>
      <c r="AK14" s="474"/>
      <c r="AL14" s="474"/>
      <c r="AM14" s="474"/>
      <c r="AN14" s="474"/>
      <c r="AO14" s="474"/>
      <c r="AP14" s="474"/>
      <c r="AQ14" s="474"/>
      <c r="AR14" s="474"/>
      <c r="AS14" s="474"/>
      <c r="AT14" s="474"/>
      <c r="AU14" s="474"/>
      <c r="AV14" s="474"/>
      <c r="AW14" s="474"/>
      <c r="AX14" s="474"/>
      <c r="AY14" s="474"/>
      <c r="AZ14" s="474"/>
      <c r="BA14" s="474"/>
      <c r="BB14" s="474"/>
      <c r="BC14" s="474"/>
      <c r="BD14" s="474"/>
      <c r="BE14" s="474"/>
      <c r="BF14" s="474"/>
    </row>
    <row r="15" spans="1:58" s="475" customFormat="1" ht="25.2" customHeight="1">
      <c r="A15" s="473"/>
      <c r="B15" s="487" t="s">
        <v>440</v>
      </c>
      <c r="C15" s="142" t="s">
        <v>255</v>
      </c>
      <c r="D15" s="45" t="s">
        <v>475</v>
      </c>
      <c r="E15" s="145"/>
      <c r="F15" s="17" t="s">
        <v>379</v>
      </c>
      <c r="G15" s="173">
        <v>1</v>
      </c>
      <c r="H15" s="16" t="s">
        <v>1</v>
      </c>
      <c r="I15" s="19">
        <f>Composição!G10</f>
        <v>419.36747600000001</v>
      </c>
      <c r="J15" s="19">
        <f t="shared" si="0"/>
        <v>505.33780858</v>
      </c>
      <c r="K15" s="228">
        <f t="shared" si="1"/>
        <v>505.33780858</v>
      </c>
      <c r="L15" s="242">
        <f>K15/K12</f>
        <v>4.4893104544594782E-2</v>
      </c>
      <c r="M15" s="258"/>
      <c r="N15" s="242"/>
      <c r="O15" s="474"/>
      <c r="P15" s="474"/>
      <c r="Q15" s="474"/>
      <c r="R15" s="474"/>
      <c r="S15" s="474"/>
      <c r="T15" s="474"/>
      <c r="U15" s="474"/>
      <c r="V15" s="474"/>
      <c r="W15" s="474"/>
      <c r="X15" s="474"/>
      <c r="Y15" s="474"/>
      <c r="Z15" s="474"/>
      <c r="AA15" s="474"/>
      <c r="AB15" s="474"/>
      <c r="AC15" s="474"/>
      <c r="AD15" s="474"/>
      <c r="AE15" s="474"/>
      <c r="AF15" s="474"/>
      <c r="AG15" s="474"/>
      <c r="AH15" s="474"/>
      <c r="AI15" s="474"/>
      <c r="AJ15" s="474"/>
      <c r="AK15" s="474"/>
      <c r="AL15" s="474"/>
      <c r="AM15" s="474"/>
      <c r="AN15" s="474"/>
      <c r="AO15" s="474"/>
      <c r="AP15" s="474"/>
      <c r="AQ15" s="474"/>
      <c r="AR15" s="474"/>
      <c r="AS15" s="474"/>
      <c r="AT15" s="474"/>
      <c r="AU15" s="474"/>
      <c r="AV15" s="474"/>
      <c r="AW15" s="474"/>
      <c r="AX15" s="474"/>
      <c r="AY15" s="474"/>
      <c r="AZ15" s="474"/>
      <c r="BA15" s="474"/>
      <c r="BB15" s="474"/>
      <c r="BC15" s="474"/>
      <c r="BD15" s="474"/>
      <c r="BE15" s="474"/>
      <c r="BF15" s="474"/>
    </row>
    <row r="16" spans="1:58" s="475" customFormat="1" ht="25.2" customHeight="1">
      <c r="A16" s="473"/>
      <c r="B16" s="487" t="s">
        <v>441</v>
      </c>
      <c r="C16" s="145" t="s">
        <v>231</v>
      </c>
      <c r="D16" s="144" t="s">
        <v>172</v>
      </c>
      <c r="E16" s="142" t="s">
        <v>10</v>
      </c>
      <c r="F16" s="17" t="s">
        <v>1000</v>
      </c>
      <c r="G16" s="173">
        <v>1</v>
      </c>
      <c r="H16" s="16" t="s">
        <v>1</v>
      </c>
      <c r="I16" s="19">
        <f>Cotação!E9</f>
        <v>1795.27</v>
      </c>
      <c r="J16" s="19">
        <f t="shared" si="0"/>
        <v>2163.30035</v>
      </c>
      <c r="K16" s="228">
        <f t="shared" si="1"/>
        <v>2163.30035</v>
      </c>
      <c r="L16" s="242">
        <f>K16/K12</f>
        <v>0.19218286683675651</v>
      </c>
      <c r="M16" s="258"/>
      <c r="N16" s="242"/>
      <c r="O16" s="474"/>
      <c r="P16" s="474"/>
      <c r="Q16" s="474"/>
      <c r="R16" s="474"/>
      <c r="S16" s="474"/>
      <c r="T16" s="474"/>
      <c r="U16" s="474"/>
      <c r="V16" s="474"/>
      <c r="W16" s="474"/>
      <c r="X16" s="474"/>
      <c r="Y16" s="474"/>
      <c r="Z16" s="474"/>
      <c r="AA16" s="474"/>
      <c r="AB16" s="474"/>
      <c r="AC16" s="474"/>
      <c r="AD16" s="474"/>
      <c r="AE16" s="474"/>
      <c r="AF16" s="474"/>
      <c r="AG16" s="474"/>
      <c r="AH16" s="474"/>
      <c r="AI16" s="474"/>
      <c r="AJ16" s="474"/>
      <c r="AK16" s="474"/>
      <c r="AL16" s="474"/>
      <c r="AM16" s="474"/>
      <c r="AN16" s="474"/>
      <c r="AO16" s="474"/>
      <c r="AP16" s="474"/>
      <c r="AQ16" s="474"/>
      <c r="AR16" s="474"/>
      <c r="AS16" s="474"/>
      <c r="AT16" s="474"/>
      <c r="AU16" s="474"/>
      <c r="AV16" s="474"/>
      <c r="AW16" s="474"/>
      <c r="AX16" s="474"/>
      <c r="AY16" s="474"/>
      <c r="AZ16" s="474"/>
      <c r="BA16" s="474"/>
      <c r="BB16" s="474"/>
      <c r="BC16" s="474"/>
      <c r="BD16" s="474"/>
      <c r="BE16" s="474"/>
      <c r="BF16" s="474"/>
    </row>
    <row r="17" spans="1:58" s="476" customFormat="1" ht="25.2" customHeight="1">
      <c r="A17" s="473"/>
      <c r="B17" s="487" t="s">
        <v>442</v>
      </c>
      <c r="C17" s="142" t="s">
        <v>10</v>
      </c>
      <c r="D17" s="45">
        <v>93212</v>
      </c>
      <c r="E17" s="16"/>
      <c r="F17" s="21" t="s">
        <v>435</v>
      </c>
      <c r="G17" s="173">
        <v>2</v>
      </c>
      <c r="H17" s="16" t="s">
        <v>11</v>
      </c>
      <c r="I17" s="18">
        <v>757.95</v>
      </c>
      <c r="J17" s="19">
        <f t="shared" si="0"/>
        <v>913.3297500000001</v>
      </c>
      <c r="K17" s="228">
        <f t="shared" si="1"/>
        <v>1826.6595000000002</v>
      </c>
      <c r="L17" s="242">
        <f>K17/K12</f>
        <v>0.16227643075294482</v>
      </c>
      <c r="M17" s="258"/>
      <c r="N17" s="242"/>
      <c r="O17" s="474"/>
      <c r="P17" s="474"/>
      <c r="Q17" s="474"/>
      <c r="R17" s="474"/>
      <c r="S17" s="474"/>
      <c r="T17" s="474"/>
      <c r="U17" s="474"/>
      <c r="V17" s="474"/>
      <c r="W17" s="474"/>
      <c r="X17" s="474"/>
      <c r="Y17" s="474"/>
      <c r="Z17" s="474"/>
      <c r="AA17" s="474"/>
      <c r="AB17" s="474"/>
      <c r="AC17" s="474"/>
      <c r="AD17" s="474"/>
      <c r="AE17" s="474"/>
      <c r="AF17" s="474"/>
      <c r="AG17" s="474"/>
      <c r="AH17" s="474"/>
      <c r="AI17" s="474"/>
      <c r="AJ17" s="474"/>
      <c r="AK17" s="474"/>
      <c r="AL17" s="474"/>
      <c r="AM17" s="474"/>
      <c r="AN17" s="474"/>
      <c r="AO17" s="474"/>
      <c r="AP17" s="474"/>
      <c r="AQ17" s="474"/>
      <c r="AR17" s="474"/>
      <c r="AS17" s="474"/>
      <c r="AT17" s="474"/>
      <c r="AU17" s="474"/>
      <c r="AV17" s="474"/>
      <c r="AW17" s="474"/>
      <c r="AX17" s="474"/>
      <c r="AY17" s="474"/>
      <c r="AZ17" s="474"/>
      <c r="BA17" s="474"/>
      <c r="BB17" s="474"/>
      <c r="BC17" s="474"/>
      <c r="BD17" s="474"/>
      <c r="BE17" s="474"/>
      <c r="BF17" s="474"/>
    </row>
    <row r="18" spans="1:58" s="476" customFormat="1" ht="25.2" customHeight="1">
      <c r="A18" s="473">
        <v>3</v>
      </c>
      <c r="B18" s="487" t="s">
        <v>443</v>
      </c>
      <c r="C18" s="142" t="s">
        <v>10</v>
      </c>
      <c r="D18" s="45">
        <v>93584</v>
      </c>
      <c r="E18" s="16"/>
      <c r="F18" s="21" t="s">
        <v>415</v>
      </c>
      <c r="G18" s="173">
        <v>3</v>
      </c>
      <c r="H18" s="16" t="s">
        <v>11</v>
      </c>
      <c r="I18" s="18">
        <v>751.1</v>
      </c>
      <c r="J18" s="19">
        <f t="shared" si="0"/>
        <v>905.07550000000003</v>
      </c>
      <c r="K18" s="228">
        <f t="shared" si="1"/>
        <v>2715.2265000000002</v>
      </c>
      <c r="L18" s="242">
        <f>K18/K12</f>
        <v>0.24121477763415167</v>
      </c>
      <c r="M18" s="258"/>
      <c r="N18" s="242"/>
      <c r="O18" s="474"/>
      <c r="P18" s="474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4"/>
      <c r="AB18" s="474"/>
      <c r="AC18" s="474"/>
      <c r="AD18" s="474"/>
      <c r="AE18" s="474"/>
      <c r="AF18" s="474"/>
      <c r="AG18" s="474"/>
      <c r="AH18" s="474"/>
      <c r="AI18" s="474"/>
      <c r="AJ18" s="474"/>
      <c r="AK18" s="474"/>
      <c r="AL18" s="474"/>
      <c r="AM18" s="474"/>
      <c r="AN18" s="474"/>
      <c r="AO18" s="474"/>
      <c r="AP18" s="474"/>
      <c r="AQ18" s="474"/>
      <c r="AR18" s="474"/>
      <c r="AS18" s="474"/>
      <c r="AT18" s="474"/>
      <c r="AU18" s="474"/>
      <c r="AV18" s="474"/>
      <c r="AW18" s="474"/>
      <c r="AX18" s="474"/>
      <c r="AY18" s="474"/>
      <c r="AZ18" s="474"/>
      <c r="BA18" s="474"/>
      <c r="BB18" s="474"/>
      <c r="BC18" s="474"/>
      <c r="BD18" s="474"/>
      <c r="BE18" s="474"/>
      <c r="BF18" s="474"/>
    </row>
    <row r="19" spans="1:58" s="475" customFormat="1" ht="25.2" customHeight="1">
      <c r="A19" s="473"/>
      <c r="B19" s="487" t="s">
        <v>444</v>
      </c>
      <c r="C19" s="22" t="s">
        <v>10</v>
      </c>
      <c r="D19" s="44">
        <v>99059</v>
      </c>
      <c r="E19" s="22" t="s">
        <v>10</v>
      </c>
      <c r="F19" s="21" t="s">
        <v>416</v>
      </c>
      <c r="G19" s="174">
        <v>52</v>
      </c>
      <c r="H19" s="16" t="s">
        <v>13</v>
      </c>
      <c r="I19" s="34">
        <v>49.33</v>
      </c>
      <c r="J19" s="19">
        <f>I19*$I$3+I19</f>
        <v>59.44265</v>
      </c>
      <c r="K19" s="228">
        <f>G19*J19</f>
        <v>3091.0178000000001</v>
      </c>
      <c r="L19" s="242">
        <f>K19/K12</f>
        <v>0.27459925398128099</v>
      </c>
      <c r="M19" s="258"/>
      <c r="N19" s="242"/>
      <c r="O19" s="474"/>
      <c r="P19" s="474"/>
      <c r="Q19" s="474"/>
      <c r="R19" s="474"/>
      <c r="S19" s="474"/>
      <c r="T19" s="474"/>
      <c r="U19" s="474"/>
      <c r="V19" s="474"/>
      <c r="W19" s="474"/>
      <c r="X19" s="474"/>
      <c r="Y19" s="474"/>
      <c r="Z19" s="474"/>
      <c r="AA19" s="474"/>
      <c r="AB19" s="474"/>
      <c r="AC19" s="474"/>
      <c r="AD19" s="474"/>
      <c r="AE19" s="474"/>
      <c r="AF19" s="474"/>
      <c r="AG19" s="474"/>
      <c r="AH19" s="474"/>
      <c r="AI19" s="474"/>
      <c r="AJ19" s="474"/>
      <c r="AK19" s="474"/>
      <c r="AL19" s="474"/>
      <c r="AM19" s="474"/>
      <c r="AN19" s="474"/>
      <c r="AO19" s="474"/>
      <c r="AP19" s="474"/>
      <c r="AQ19" s="474"/>
      <c r="AR19" s="474"/>
      <c r="AS19" s="474"/>
      <c r="AT19" s="474"/>
      <c r="AU19" s="474"/>
      <c r="AV19" s="474"/>
      <c r="AW19" s="474"/>
      <c r="AX19" s="474"/>
      <c r="AY19" s="474"/>
      <c r="AZ19" s="474"/>
      <c r="BA19" s="474"/>
      <c r="BB19" s="474"/>
      <c r="BC19" s="474"/>
      <c r="BD19" s="474"/>
      <c r="BE19" s="474"/>
      <c r="BF19" s="474"/>
    </row>
    <row r="20" spans="1:58" s="475" customFormat="1" ht="25.2" customHeight="1">
      <c r="A20" s="473"/>
      <c r="B20" s="14"/>
      <c r="C20" s="14"/>
      <c r="D20" s="185"/>
      <c r="E20" s="14"/>
      <c r="F20" s="15"/>
      <c r="G20" s="175"/>
      <c r="H20" s="14"/>
      <c r="I20" s="176"/>
      <c r="J20" s="229"/>
      <c r="K20" s="230"/>
      <c r="L20" s="236"/>
      <c r="M20" s="252"/>
      <c r="N20" s="236"/>
      <c r="O20" s="474"/>
      <c r="P20" s="474"/>
      <c r="Q20" s="474"/>
      <c r="R20" s="474"/>
      <c r="S20" s="474"/>
      <c r="T20" s="474"/>
      <c r="U20" s="474"/>
      <c r="V20" s="474"/>
      <c r="W20" s="474"/>
      <c r="X20" s="474"/>
      <c r="Y20" s="474"/>
      <c r="Z20" s="474"/>
      <c r="AA20" s="474"/>
      <c r="AB20" s="474"/>
      <c r="AC20" s="474"/>
      <c r="AD20" s="474"/>
      <c r="AE20" s="474"/>
      <c r="AF20" s="474"/>
      <c r="AG20" s="474"/>
      <c r="AH20" s="474"/>
      <c r="AI20" s="474"/>
      <c r="AJ20" s="474"/>
      <c r="AK20" s="474"/>
      <c r="AL20" s="474"/>
      <c r="AM20" s="474"/>
      <c r="AN20" s="474"/>
      <c r="AO20" s="474"/>
      <c r="AP20" s="474"/>
      <c r="AQ20" s="474"/>
      <c r="AR20" s="474"/>
      <c r="AS20" s="474"/>
      <c r="AT20" s="474"/>
      <c r="AU20" s="474"/>
      <c r="AV20" s="474"/>
      <c r="AW20" s="474"/>
      <c r="AX20" s="474"/>
      <c r="AY20" s="474"/>
      <c r="AZ20" s="474"/>
      <c r="BA20" s="474"/>
      <c r="BB20" s="474"/>
      <c r="BC20" s="474"/>
      <c r="BD20" s="474"/>
      <c r="BE20" s="474"/>
      <c r="BF20" s="474"/>
    </row>
    <row r="21" spans="1:58" s="475" customFormat="1" ht="25.2" customHeight="1">
      <c r="A21" s="473"/>
      <c r="B21" s="26" t="s">
        <v>158</v>
      </c>
      <c r="C21" s="533" t="s">
        <v>59</v>
      </c>
      <c r="D21" s="533"/>
      <c r="E21" s="533"/>
      <c r="F21" s="533"/>
      <c r="G21" s="533"/>
      <c r="H21" s="533"/>
      <c r="I21" s="533"/>
      <c r="J21" s="533"/>
      <c r="K21" s="472">
        <f>SUM(K22:K26)</f>
        <v>2682.8120000000004</v>
      </c>
      <c r="L21" s="240">
        <f>SUM(L22:L26)</f>
        <v>1</v>
      </c>
      <c r="M21" s="256">
        <f>K21/K28</f>
        <v>0.19246416892475127</v>
      </c>
      <c r="N21" s="240">
        <f>K21/K398</f>
        <v>4.1279083832342313E-3</v>
      </c>
      <c r="O21" s="474"/>
      <c r="P21" s="474"/>
      <c r="Q21" s="474"/>
      <c r="R21" s="474"/>
      <c r="S21" s="474"/>
      <c r="T21" s="474"/>
      <c r="U21" s="474"/>
      <c r="V21" s="474"/>
      <c r="W21" s="474"/>
      <c r="X21" s="474"/>
      <c r="Y21" s="474"/>
      <c r="Z21" s="474"/>
      <c r="AA21" s="474"/>
      <c r="AB21" s="474"/>
      <c r="AC21" s="474"/>
      <c r="AD21" s="474"/>
      <c r="AE21" s="474"/>
      <c r="AF21" s="474"/>
      <c r="AG21" s="474"/>
      <c r="AH21" s="474"/>
      <c r="AI21" s="474"/>
      <c r="AJ21" s="474"/>
      <c r="AK21" s="474"/>
      <c r="AL21" s="474"/>
      <c r="AM21" s="474"/>
      <c r="AN21" s="474"/>
      <c r="AO21" s="474"/>
      <c r="AP21" s="474"/>
      <c r="AQ21" s="474"/>
      <c r="AR21" s="474"/>
      <c r="AS21" s="474"/>
      <c r="AT21" s="474"/>
      <c r="AU21" s="474"/>
      <c r="AV21" s="474"/>
      <c r="AW21" s="474"/>
      <c r="AX21" s="474"/>
      <c r="AY21" s="474"/>
      <c r="AZ21" s="474"/>
      <c r="BA21" s="474"/>
      <c r="BB21" s="474"/>
      <c r="BC21" s="474"/>
      <c r="BD21" s="474"/>
      <c r="BE21" s="474"/>
      <c r="BF21" s="474"/>
    </row>
    <row r="22" spans="1:58" s="475" customFormat="1" ht="25.2" customHeight="1">
      <c r="A22" s="473"/>
      <c r="B22" s="488" t="s">
        <v>382</v>
      </c>
      <c r="C22" s="145" t="s">
        <v>231</v>
      </c>
      <c r="D22" s="144" t="s">
        <v>176</v>
      </c>
      <c r="E22" s="488"/>
      <c r="F22" s="490" t="s">
        <v>1001</v>
      </c>
      <c r="G22" s="173">
        <v>105</v>
      </c>
      <c r="H22" s="491" t="s">
        <v>13</v>
      </c>
      <c r="I22" s="19">
        <v>4.4800000000000004</v>
      </c>
      <c r="J22" s="19">
        <f>I22*$I$3+I22</f>
        <v>5.3984000000000005</v>
      </c>
      <c r="K22" s="19">
        <f>G22*J22</f>
        <v>566.83200000000011</v>
      </c>
      <c r="L22" s="492">
        <f>K22/K21</f>
        <v>0.21128278835788719</v>
      </c>
      <c r="M22" s="493"/>
      <c r="N22" s="492"/>
      <c r="O22" s="474"/>
      <c r="P22" s="474"/>
      <c r="Q22" s="474"/>
      <c r="R22" s="474"/>
      <c r="S22" s="474"/>
      <c r="T22" s="474"/>
      <c r="U22" s="474"/>
      <c r="V22" s="474"/>
      <c r="W22" s="474"/>
      <c r="X22" s="474"/>
      <c r="Y22" s="474"/>
      <c r="Z22" s="474"/>
      <c r="AA22" s="474"/>
      <c r="AB22" s="474"/>
      <c r="AC22" s="474"/>
      <c r="AD22" s="474"/>
      <c r="AE22" s="474"/>
      <c r="AF22" s="474"/>
      <c r="AG22" s="474"/>
      <c r="AH22" s="474"/>
      <c r="AI22" s="474"/>
      <c r="AJ22" s="474"/>
      <c r="AK22" s="474"/>
      <c r="AL22" s="474"/>
      <c r="AM22" s="474"/>
      <c r="AN22" s="474"/>
      <c r="AO22" s="474"/>
      <c r="AP22" s="474"/>
      <c r="AQ22" s="474"/>
      <c r="AR22" s="474"/>
      <c r="AS22" s="474"/>
      <c r="AT22" s="474"/>
      <c r="AU22" s="474"/>
      <c r="AV22" s="474"/>
      <c r="AW22" s="474"/>
      <c r="AX22" s="474"/>
      <c r="AY22" s="474"/>
      <c r="AZ22" s="474"/>
      <c r="BA22" s="474"/>
      <c r="BB22" s="474"/>
      <c r="BC22" s="474"/>
      <c r="BD22" s="474"/>
      <c r="BE22" s="474"/>
      <c r="BF22" s="474"/>
    </row>
    <row r="23" spans="1:58" s="475" customFormat="1" ht="25.2" customHeight="1">
      <c r="A23" s="473"/>
      <c r="B23" s="488" t="s">
        <v>447</v>
      </c>
      <c r="C23" s="488" t="s">
        <v>10</v>
      </c>
      <c r="D23" s="489" t="s">
        <v>388</v>
      </c>
      <c r="E23" s="488"/>
      <c r="F23" s="490" t="s">
        <v>387</v>
      </c>
      <c r="G23" s="173">
        <v>200</v>
      </c>
      <c r="H23" s="488" t="s">
        <v>14</v>
      </c>
      <c r="I23" s="19">
        <v>1.53</v>
      </c>
      <c r="J23" s="19">
        <f>I23*$I$3+I23</f>
        <v>1.84365</v>
      </c>
      <c r="K23" s="19">
        <f>G23*J23</f>
        <v>368.73</v>
      </c>
      <c r="L23" s="492">
        <f>K23/K21</f>
        <v>0.13744160977362557</v>
      </c>
      <c r="M23" s="493"/>
      <c r="N23" s="492"/>
      <c r="O23" s="474"/>
      <c r="P23" s="474"/>
      <c r="Q23" s="474"/>
      <c r="R23" s="474"/>
      <c r="S23" s="474"/>
      <c r="T23" s="474"/>
      <c r="U23" s="474"/>
      <c r="V23" s="474"/>
      <c r="W23" s="474"/>
      <c r="X23" s="474"/>
      <c r="Y23" s="474"/>
      <c r="Z23" s="474"/>
      <c r="AA23" s="474"/>
      <c r="AB23" s="474"/>
      <c r="AC23" s="474"/>
      <c r="AD23" s="474"/>
      <c r="AE23" s="474"/>
      <c r="AF23" s="474"/>
      <c r="AG23" s="474"/>
      <c r="AH23" s="474"/>
      <c r="AI23" s="474"/>
      <c r="AJ23" s="474"/>
      <c r="AK23" s="474"/>
      <c r="AL23" s="474"/>
      <c r="AM23" s="474"/>
      <c r="AN23" s="474"/>
      <c r="AO23" s="474"/>
      <c r="AP23" s="474"/>
      <c r="AQ23" s="474"/>
      <c r="AR23" s="474"/>
      <c r="AS23" s="474"/>
      <c r="AT23" s="474"/>
      <c r="AU23" s="474"/>
      <c r="AV23" s="474"/>
      <c r="AW23" s="474"/>
      <c r="AX23" s="474"/>
      <c r="AY23" s="474"/>
      <c r="AZ23" s="474"/>
      <c r="BA23" s="474"/>
      <c r="BB23" s="474"/>
      <c r="BC23" s="474"/>
      <c r="BD23" s="474"/>
      <c r="BE23" s="474"/>
      <c r="BF23" s="474"/>
    </row>
    <row r="24" spans="1:58" s="475" customFormat="1" ht="25.2" customHeight="1">
      <c r="A24" s="473"/>
      <c r="B24" s="488" t="s">
        <v>891</v>
      </c>
      <c r="C24" s="488" t="s">
        <v>10</v>
      </c>
      <c r="D24" s="489">
        <v>97914</v>
      </c>
      <c r="E24" s="488"/>
      <c r="F24" s="490" t="s">
        <v>389</v>
      </c>
      <c r="G24" s="173">
        <v>500</v>
      </c>
      <c r="H24" s="488" t="s">
        <v>383</v>
      </c>
      <c r="I24" s="19">
        <v>1.2</v>
      </c>
      <c r="J24" s="19">
        <f>I24*$I$3+I24</f>
        <v>1.446</v>
      </c>
      <c r="K24" s="19">
        <f>G24*J24</f>
        <v>723</v>
      </c>
      <c r="L24" s="492">
        <f>K24/K21</f>
        <v>0.26949335249730505</v>
      </c>
      <c r="M24" s="493"/>
      <c r="N24" s="492"/>
      <c r="O24" s="474"/>
      <c r="P24" s="474"/>
      <c r="Q24" s="474"/>
      <c r="R24" s="474"/>
      <c r="S24" s="474"/>
      <c r="T24" s="474"/>
      <c r="U24" s="474"/>
      <c r="V24" s="474"/>
      <c r="W24" s="474"/>
      <c r="X24" s="474"/>
      <c r="Y24" s="474"/>
      <c r="Z24" s="474"/>
      <c r="AA24" s="474"/>
      <c r="AB24" s="474"/>
      <c r="AC24" s="474"/>
      <c r="AD24" s="474"/>
      <c r="AE24" s="474"/>
      <c r="AF24" s="474"/>
      <c r="AG24" s="474"/>
      <c r="AH24" s="474"/>
      <c r="AI24" s="474"/>
      <c r="AJ24" s="474"/>
      <c r="AK24" s="474"/>
      <c r="AL24" s="474"/>
      <c r="AM24" s="474"/>
      <c r="AN24" s="474"/>
      <c r="AO24" s="474"/>
      <c r="AP24" s="474"/>
      <c r="AQ24" s="474"/>
      <c r="AR24" s="474"/>
      <c r="AS24" s="474"/>
      <c r="AT24" s="474"/>
      <c r="AU24" s="474"/>
      <c r="AV24" s="474"/>
      <c r="AW24" s="474"/>
      <c r="AX24" s="474"/>
      <c r="AY24" s="474"/>
      <c r="AZ24" s="474"/>
      <c r="BA24" s="474"/>
      <c r="BB24" s="474"/>
      <c r="BC24" s="474"/>
      <c r="BD24" s="474"/>
      <c r="BE24" s="474"/>
      <c r="BF24" s="474"/>
    </row>
    <row r="25" spans="1:58" s="475" customFormat="1" ht="25.2" customHeight="1">
      <c r="A25" s="473"/>
      <c r="B25" s="488" t="s">
        <v>892</v>
      </c>
      <c r="C25" s="488" t="s">
        <v>10</v>
      </c>
      <c r="D25" s="489">
        <v>96385</v>
      </c>
      <c r="E25" s="488"/>
      <c r="F25" s="490" t="s">
        <v>417</v>
      </c>
      <c r="G25" s="173">
        <v>100</v>
      </c>
      <c r="H25" s="488" t="s">
        <v>14</v>
      </c>
      <c r="I25" s="19">
        <v>6.68</v>
      </c>
      <c r="J25" s="19">
        <f>I25*$I$3+I25</f>
        <v>8.0494000000000003</v>
      </c>
      <c r="K25" s="19">
        <f>G25*J25</f>
        <v>804.94</v>
      </c>
      <c r="L25" s="492">
        <f>K25/K21</f>
        <v>0.30003593244699961</v>
      </c>
      <c r="M25" s="493"/>
      <c r="N25" s="492"/>
      <c r="O25" s="474"/>
      <c r="P25" s="474"/>
      <c r="Q25" s="474"/>
      <c r="R25" s="474"/>
      <c r="S25" s="474"/>
      <c r="T25" s="474"/>
      <c r="U25" s="474"/>
      <c r="V25" s="474"/>
      <c r="W25" s="474"/>
      <c r="X25" s="474"/>
      <c r="Y25" s="474"/>
      <c r="Z25" s="474"/>
      <c r="AA25" s="474"/>
      <c r="AB25" s="474"/>
      <c r="AC25" s="474"/>
      <c r="AD25" s="474"/>
      <c r="AE25" s="474"/>
      <c r="AF25" s="474"/>
      <c r="AG25" s="474"/>
      <c r="AH25" s="474"/>
      <c r="AI25" s="474"/>
      <c r="AJ25" s="474"/>
      <c r="AK25" s="474"/>
      <c r="AL25" s="474"/>
      <c r="AM25" s="474"/>
      <c r="AN25" s="474"/>
      <c r="AO25" s="474"/>
      <c r="AP25" s="474"/>
      <c r="AQ25" s="474"/>
      <c r="AR25" s="474"/>
      <c r="AS25" s="474"/>
      <c r="AT25" s="474"/>
      <c r="AU25" s="474"/>
      <c r="AV25" s="474"/>
      <c r="AW25" s="474"/>
      <c r="AX25" s="474"/>
      <c r="AY25" s="474"/>
      <c r="AZ25" s="474"/>
      <c r="BA25" s="474"/>
      <c r="BB25" s="474"/>
      <c r="BC25" s="474"/>
      <c r="BD25" s="474"/>
      <c r="BE25" s="474"/>
      <c r="BF25" s="474"/>
    </row>
    <row r="26" spans="1:58" s="475" customFormat="1" ht="25.2" customHeight="1">
      <c r="A26" s="473"/>
      <c r="B26" s="488" t="s">
        <v>893</v>
      </c>
      <c r="C26" s="488" t="s">
        <v>10</v>
      </c>
      <c r="D26" s="489">
        <v>100574</v>
      </c>
      <c r="E26" s="488"/>
      <c r="F26" s="490" t="s">
        <v>384</v>
      </c>
      <c r="G26" s="173">
        <v>200</v>
      </c>
      <c r="H26" s="488" t="s">
        <v>14</v>
      </c>
      <c r="I26" s="19">
        <v>0.91</v>
      </c>
      <c r="J26" s="19">
        <f>I26*$I$3+I26</f>
        <v>1.0965500000000001</v>
      </c>
      <c r="K26" s="19">
        <f>G26*J26</f>
        <v>219.31000000000003</v>
      </c>
      <c r="L26" s="492">
        <f>K26/K21</f>
        <v>8.1746316924182535E-2</v>
      </c>
      <c r="M26" s="493"/>
      <c r="N26" s="492"/>
      <c r="O26" s="474"/>
      <c r="P26" s="474"/>
      <c r="Q26" s="474"/>
      <c r="R26" s="474"/>
      <c r="S26" s="474"/>
      <c r="T26" s="474"/>
      <c r="U26" s="474"/>
      <c r="V26" s="474"/>
      <c r="W26" s="474"/>
      <c r="X26" s="474"/>
      <c r="Y26" s="474"/>
      <c r="Z26" s="474"/>
      <c r="AA26" s="474"/>
      <c r="AB26" s="474"/>
      <c r="AC26" s="474"/>
      <c r="AD26" s="474"/>
      <c r="AE26" s="474"/>
      <c r="AF26" s="474"/>
      <c r="AG26" s="474"/>
      <c r="AH26" s="474"/>
      <c r="AI26" s="474"/>
      <c r="AJ26" s="474"/>
      <c r="AK26" s="474"/>
      <c r="AL26" s="474"/>
      <c r="AM26" s="474"/>
      <c r="AN26" s="474"/>
      <c r="AO26" s="474"/>
      <c r="AP26" s="474"/>
      <c r="AQ26" s="474"/>
      <c r="AR26" s="474"/>
      <c r="AS26" s="474"/>
      <c r="AT26" s="474"/>
      <c r="AU26" s="474"/>
      <c r="AV26" s="474"/>
      <c r="AW26" s="474"/>
      <c r="AX26" s="474"/>
      <c r="AY26" s="474"/>
      <c r="AZ26" s="474"/>
      <c r="BA26" s="474"/>
      <c r="BB26" s="474"/>
      <c r="BC26" s="474"/>
      <c r="BD26" s="474"/>
      <c r="BE26" s="474"/>
      <c r="BF26" s="474"/>
    </row>
    <row r="27" spans="1:58" s="475" customFormat="1" ht="25.2" customHeight="1" thickBot="1">
      <c r="A27" s="473"/>
      <c r="B27" s="2"/>
      <c r="C27" s="28"/>
      <c r="D27" s="168"/>
      <c r="E27" s="28"/>
      <c r="F27" s="190" t="s">
        <v>386</v>
      </c>
      <c r="G27" s="209"/>
      <c r="H27" s="2"/>
      <c r="I27" s="29"/>
      <c r="J27" s="212"/>
      <c r="K27" s="231"/>
      <c r="L27" s="236"/>
      <c r="M27" s="252"/>
      <c r="N27" s="236"/>
      <c r="O27" s="474"/>
      <c r="P27" s="474"/>
      <c r="Q27" s="474"/>
      <c r="R27" s="474"/>
      <c r="S27" s="474"/>
      <c r="T27" s="474"/>
      <c r="U27" s="474"/>
      <c r="V27" s="474"/>
      <c r="W27" s="474"/>
      <c r="X27" s="474"/>
      <c r="Y27" s="474"/>
      <c r="Z27" s="474"/>
      <c r="AA27" s="474"/>
      <c r="AB27" s="474"/>
      <c r="AC27" s="474"/>
      <c r="AD27" s="474"/>
      <c r="AE27" s="474"/>
      <c r="AF27" s="474"/>
      <c r="AG27" s="474"/>
      <c r="AH27" s="474"/>
      <c r="AI27" s="474"/>
      <c r="AJ27" s="474"/>
      <c r="AK27" s="474"/>
      <c r="AL27" s="474"/>
      <c r="AM27" s="474"/>
      <c r="AN27" s="474"/>
      <c r="AO27" s="474"/>
      <c r="AP27" s="474"/>
      <c r="AQ27" s="474"/>
      <c r="AR27" s="474"/>
      <c r="AS27" s="474"/>
      <c r="AT27" s="474"/>
      <c r="AU27" s="474"/>
      <c r="AV27" s="474"/>
      <c r="AW27" s="474"/>
      <c r="AX27" s="474"/>
      <c r="AY27" s="474"/>
      <c r="AZ27" s="474"/>
      <c r="BA27" s="474"/>
      <c r="BB27" s="474"/>
      <c r="BC27" s="474"/>
      <c r="BD27" s="474"/>
      <c r="BE27" s="474"/>
      <c r="BF27" s="474"/>
    </row>
    <row r="28" spans="1:58" s="475" customFormat="1" ht="25.2" customHeight="1" thickBot="1">
      <c r="A28" s="473"/>
      <c r="B28" s="535" t="s">
        <v>448</v>
      </c>
      <c r="C28" s="536"/>
      <c r="D28" s="536"/>
      <c r="E28" s="536"/>
      <c r="F28" s="536"/>
      <c r="G28" s="536"/>
      <c r="H28" s="536"/>
      <c r="I28" s="536"/>
      <c r="J28" s="536"/>
      <c r="K28" s="246">
        <f>SUM(K12,,K21)</f>
        <v>13939.280308580001</v>
      </c>
      <c r="L28" s="247"/>
      <c r="M28" s="259">
        <f>SUM(M12:M26)</f>
        <v>1</v>
      </c>
      <c r="N28" s="310">
        <f>SUM(N12:N26)</f>
        <v>2.1447672085125317E-2</v>
      </c>
      <c r="O28" s="474"/>
      <c r="P28" s="474"/>
      <c r="Q28" s="474"/>
      <c r="R28" s="474"/>
      <c r="S28" s="474"/>
      <c r="T28" s="474"/>
      <c r="U28" s="474"/>
      <c r="V28" s="474"/>
      <c r="W28" s="474"/>
      <c r="X28" s="474"/>
      <c r="Y28" s="474"/>
      <c r="Z28" s="474"/>
      <c r="AA28" s="474"/>
      <c r="AB28" s="474"/>
      <c r="AC28" s="474"/>
      <c r="AD28" s="474"/>
      <c r="AE28" s="474"/>
      <c r="AF28" s="474"/>
      <c r="AG28" s="474"/>
      <c r="AH28" s="474"/>
      <c r="AI28" s="474"/>
      <c r="AJ28" s="474"/>
      <c r="AK28" s="474"/>
      <c r="AL28" s="474"/>
      <c r="AM28" s="474"/>
      <c r="AN28" s="474"/>
      <c r="AO28" s="474"/>
      <c r="AP28" s="474"/>
      <c r="AQ28" s="474"/>
      <c r="AR28" s="474"/>
      <c r="AS28" s="474"/>
      <c r="AT28" s="474"/>
      <c r="AU28" s="474"/>
      <c r="AV28" s="474"/>
      <c r="AW28" s="474"/>
      <c r="AX28" s="474"/>
      <c r="AY28" s="474"/>
      <c r="AZ28" s="474"/>
      <c r="BA28" s="474"/>
      <c r="BB28" s="474"/>
      <c r="BC28" s="474"/>
      <c r="BD28" s="474"/>
      <c r="BE28" s="474"/>
      <c r="BF28" s="474"/>
    </row>
    <row r="29" spans="1:58" s="475" customFormat="1" ht="25.2" customHeight="1" thickBot="1">
      <c r="A29" s="473"/>
      <c r="B29" s="2"/>
      <c r="C29" s="28"/>
      <c r="D29" s="168"/>
      <c r="E29" s="28"/>
      <c r="F29" s="190" t="s">
        <v>385</v>
      </c>
      <c r="G29" s="209"/>
      <c r="H29" s="2"/>
      <c r="I29" s="29"/>
      <c r="J29" s="212"/>
      <c r="K29" s="231"/>
      <c r="L29" s="236"/>
      <c r="M29" s="252"/>
      <c r="N29" s="236"/>
      <c r="O29" s="474"/>
      <c r="P29" s="474"/>
      <c r="Q29" s="474"/>
      <c r="R29" s="474"/>
      <c r="S29" s="474"/>
      <c r="T29" s="474"/>
      <c r="U29" s="474"/>
      <c r="V29" s="474"/>
      <c r="W29" s="474"/>
      <c r="X29" s="474"/>
      <c r="Y29" s="474"/>
      <c r="Z29" s="474"/>
      <c r="AA29" s="474"/>
      <c r="AB29" s="474"/>
      <c r="AC29" s="474"/>
      <c r="AD29" s="474"/>
      <c r="AE29" s="474"/>
      <c r="AF29" s="474"/>
      <c r="AG29" s="474"/>
      <c r="AH29" s="474"/>
      <c r="AI29" s="474"/>
      <c r="AJ29" s="474"/>
      <c r="AK29" s="474"/>
      <c r="AL29" s="474"/>
      <c r="AM29" s="474"/>
      <c r="AN29" s="474"/>
      <c r="AO29" s="474"/>
      <c r="AP29" s="474"/>
      <c r="AQ29" s="474"/>
      <c r="AR29" s="474"/>
      <c r="AS29" s="474"/>
      <c r="AT29" s="474"/>
      <c r="AU29" s="474"/>
      <c r="AV29" s="474"/>
      <c r="AW29" s="474"/>
      <c r="AX29" s="474"/>
      <c r="AY29" s="474"/>
      <c r="AZ29" s="474"/>
      <c r="BA29" s="474"/>
      <c r="BB29" s="474"/>
      <c r="BC29" s="474"/>
      <c r="BD29" s="474"/>
      <c r="BE29" s="474"/>
      <c r="BF29" s="474"/>
    </row>
    <row r="30" spans="1:58" s="475" customFormat="1" ht="25.2" customHeight="1" thickBot="1">
      <c r="A30" s="473"/>
      <c r="B30" s="192">
        <v>2</v>
      </c>
      <c r="C30" s="529" t="s">
        <v>16</v>
      </c>
      <c r="D30" s="529"/>
      <c r="E30" s="529"/>
      <c r="F30" s="529"/>
      <c r="G30" s="529"/>
      <c r="H30" s="529"/>
      <c r="I30" s="529"/>
      <c r="J30" s="529"/>
      <c r="K30" s="529"/>
      <c r="L30" s="529"/>
      <c r="M30" s="529"/>
      <c r="N30" s="534"/>
      <c r="O30" s="474"/>
      <c r="P30" s="474"/>
      <c r="Q30" s="474"/>
      <c r="R30" s="474"/>
      <c r="S30" s="474"/>
      <c r="T30" s="474"/>
      <c r="U30" s="474"/>
      <c r="V30" s="474"/>
      <c r="W30" s="474"/>
      <c r="X30" s="474"/>
      <c r="Y30" s="474"/>
      <c r="Z30" s="474"/>
      <c r="AA30" s="474"/>
      <c r="AB30" s="474"/>
      <c r="AC30" s="474"/>
      <c r="AD30" s="474"/>
      <c r="AE30" s="474"/>
      <c r="AF30" s="474"/>
      <c r="AG30" s="474"/>
      <c r="AH30" s="474"/>
      <c r="AI30" s="474"/>
      <c r="AJ30" s="474"/>
      <c r="AK30" s="474"/>
      <c r="AL30" s="474"/>
      <c r="AM30" s="474"/>
      <c r="AN30" s="474"/>
      <c r="AO30" s="474"/>
      <c r="AP30" s="474"/>
      <c r="AQ30" s="474"/>
      <c r="AR30" s="474"/>
      <c r="AS30" s="474"/>
      <c r="AT30" s="474"/>
      <c r="AU30" s="474"/>
      <c r="AV30" s="474"/>
      <c r="AW30" s="474"/>
      <c r="AX30" s="474"/>
      <c r="AY30" s="474"/>
      <c r="AZ30" s="474"/>
      <c r="BA30" s="474"/>
      <c r="BB30" s="474"/>
      <c r="BC30" s="474"/>
      <c r="BD30" s="474"/>
      <c r="BE30" s="474"/>
      <c r="BF30" s="474"/>
    </row>
    <row r="31" spans="1:58" s="477" customFormat="1" ht="25.2" customHeight="1">
      <c r="B31" s="494"/>
      <c r="C31" s="495"/>
      <c r="D31" s="496"/>
      <c r="E31" s="495"/>
      <c r="F31" s="497"/>
      <c r="G31" s="498"/>
      <c r="H31" s="495"/>
      <c r="I31" s="495"/>
      <c r="J31" s="495"/>
      <c r="K31" s="495"/>
      <c r="L31" s="499"/>
      <c r="M31" s="500"/>
      <c r="N31" s="501"/>
    </row>
    <row r="32" spans="1:58" s="475" customFormat="1" ht="25.2" customHeight="1">
      <c r="A32" s="473"/>
      <c r="B32" s="26" t="s">
        <v>449</v>
      </c>
      <c r="C32" s="533" t="s">
        <v>129</v>
      </c>
      <c r="D32" s="533"/>
      <c r="E32" s="533"/>
      <c r="F32" s="533"/>
      <c r="G32" s="533"/>
      <c r="H32" s="533"/>
      <c r="I32" s="533"/>
      <c r="J32" s="533"/>
      <c r="K32" s="226">
        <f>SUM(K33:K40)</f>
        <v>32938.001164000001</v>
      </c>
      <c r="L32" s="240">
        <f>SUM(L33:L40)</f>
        <v>1.0000000000000002</v>
      </c>
      <c r="M32" s="256">
        <f>K32/K60</f>
        <v>0.62464681338747041</v>
      </c>
      <c r="N32" s="240">
        <f>K32/K398</f>
        <v>5.0680051800817368E-2</v>
      </c>
      <c r="O32" s="474"/>
      <c r="P32" s="474"/>
      <c r="Q32" s="474"/>
      <c r="R32" s="474"/>
      <c r="S32" s="474"/>
      <c r="T32" s="474"/>
      <c r="U32" s="474"/>
      <c r="V32" s="474"/>
      <c r="W32" s="474"/>
      <c r="X32" s="474"/>
      <c r="Y32" s="474"/>
      <c r="Z32" s="474"/>
      <c r="AA32" s="474"/>
      <c r="AB32" s="474"/>
      <c r="AC32" s="474"/>
      <c r="AD32" s="474"/>
      <c r="AE32" s="474"/>
      <c r="AF32" s="474"/>
      <c r="AG32" s="474"/>
      <c r="AH32" s="474"/>
      <c r="AI32" s="474"/>
      <c r="AJ32" s="474"/>
      <c r="AK32" s="474"/>
      <c r="AL32" s="474"/>
      <c r="AM32" s="474"/>
      <c r="AN32" s="474"/>
      <c r="AO32" s="474"/>
      <c r="AP32" s="474"/>
      <c r="AQ32" s="474"/>
      <c r="AR32" s="474"/>
      <c r="AS32" s="474"/>
      <c r="AT32" s="474"/>
      <c r="AU32" s="474"/>
      <c r="AV32" s="474"/>
      <c r="AW32" s="474"/>
      <c r="AX32" s="474"/>
      <c r="AY32" s="474"/>
      <c r="AZ32" s="474"/>
      <c r="BA32" s="474"/>
      <c r="BB32" s="474"/>
      <c r="BC32" s="474"/>
      <c r="BD32" s="474"/>
      <c r="BE32" s="474"/>
      <c r="BF32" s="474"/>
    </row>
    <row r="33" spans="1:58" s="475" customFormat="1" ht="30" customHeight="1">
      <c r="A33" s="473"/>
      <c r="B33" s="16" t="s">
        <v>644</v>
      </c>
      <c r="C33" s="22" t="s">
        <v>10</v>
      </c>
      <c r="D33" s="45">
        <v>96520</v>
      </c>
      <c r="E33" s="22"/>
      <c r="F33" s="21" t="s">
        <v>411</v>
      </c>
      <c r="G33" s="173">
        <v>12.8</v>
      </c>
      <c r="H33" s="16" t="s">
        <v>14</v>
      </c>
      <c r="I33" s="19">
        <v>75.14</v>
      </c>
      <c r="J33" s="19">
        <f t="shared" ref="J33:J40" si="2">I33*$I$3+I33</f>
        <v>90.543700000000001</v>
      </c>
      <c r="K33" s="228">
        <f t="shared" ref="K33:K40" si="3">G33*J33</f>
        <v>1158.9593600000001</v>
      </c>
      <c r="L33" s="242">
        <f>K33/K32</f>
        <v>3.5186086557878297E-2</v>
      </c>
      <c r="M33" s="258"/>
      <c r="N33" s="242"/>
      <c r="O33" s="474"/>
      <c r="P33" s="474"/>
      <c r="Q33" s="474"/>
      <c r="R33" s="474"/>
      <c r="S33" s="474"/>
      <c r="T33" s="474"/>
      <c r="U33" s="474"/>
      <c r="V33" s="474"/>
      <c r="W33" s="474"/>
      <c r="X33" s="474"/>
      <c r="Y33" s="474"/>
      <c r="Z33" s="474"/>
      <c r="AA33" s="474"/>
      <c r="AB33" s="474"/>
      <c r="AC33" s="474"/>
      <c r="AD33" s="474"/>
      <c r="AE33" s="474"/>
      <c r="AF33" s="474"/>
      <c r="AG33" s="474"/>
      <c r="AH33" s="474"/>
      <c r="AI33" s="474"/>
      <c r="AJ33" s="474"/>
      <c r="AK33" s="474"/>
      <c r="AL33" s="474"/>
      <c r="AM33" s="474"/>
      <c r="AN33" s="474"/>
      <c r="AO33" s="474"/>
      <c r="AP33" s="474"/>
      <c r="AQ33" s="474"/>
      <c r="AR33" s="474"/>
      <c r="AS33" s="474"/>
      <c r="AT33" s="474"/>
      <c r="AU33" s="474"/>
      <c r="AV33" s="474"/>
      <c r="AW33" s="474"/>
      <c r="AX33" s="474"/>
      <c r="AY33" s="474"/>
      <c r="AZ33" s="474"/>
      <c r="BA33" s="474"/>
      <c r="BB33" s="474"/>
      <c r="BC33" s="474"/>
      <c r="BD33" s="474"/>
      <c r="BE33" s="474"/>
      <c r="BF33" s="474"/>
    </row>
    <row r="34" spans="1:58" s="475" customFormat="1" ht="30" customHeight="1">
      <c r="A34" s="473"/>
      <c r="B34" s="16" t="s">
        <v>645</v>
      </c>
      <c r="C34" s="22" t="s">
        <v>10</v>
      </c>
      <c r="D34" s="45">
        <v>100897</v>
      </c>
      <c r="E34" s="22" t="s">
        <v>10</v>
      </c>
      <c r="F34" s="21" t="s">
        <v>412</v>
      </c>
      <c r="G34" s="173">
        <v>150</v>
      </c>
      <c r="H34" s="16" t="s">
        <v>13</v>
      </c>
      <c r="I34" s="19">
        <v>79.790000000000006</v>
      </c>
      <c r="J34" s="19">
        <f t="shared" si="2"/>
        <v>96.146950000000004</v>
      </c>
      <c r="K34" s="228">
        <f t="shared" si="3"/>
        <v>14422.042500000001</v>
      </c>
      <c r="L34" s="242">
        <f>K34/K32</f>
        <v>0.43785421064842128</v>
      </c>
      <c r="M34" s="258"/>
      <c r="N34" s="242"/>
      <c r="O34" s="474"/>
      <c r="P34" s="474"/>
      <c r="Q34" s="474"/>
      <c r="R34" s="474"/>
      <c r="S34" s="474"/>
      <c r="T34" s="474"/>
      <c r="U34" s="474"/>
      <c r="V34" s="474"/>
      <c r="W34" s="474"/>
      <c r="X34" s="474"/>
      <c r="Y34" s="474"/>
      <c r="Z34" s="474"/>
      <c r="AA34" s="474"/>
      <c r="AB34" s="474"/>
      <c r="AC34" s="474"/>
      <c r="AD34" s="474"/>
      <c r="AE34" s="474"/>
      <c r="AF34" s="474"/>
      <c r="AG34" s="474"/>
      <c r="AH34" s="474"/>
      <c r="AI34" s="474"/>
      <c r="AJ34" s="474"/>
      <c r="AK34" s="474"/>
      <c r="AL34" s="474"/>
      <c r="AM34" s="474"/>
      <c r="AN34" s="474"/>
      <c r="AO34" s="474"/>
      <c r="AP34" s="474"/>
      <c r="AQ34" s="474"/>
      <c r="AR34" s="474"/>
      <c r="AS34" s="474"/>
      <c r="AT34" s="474"/>
      <c r="AU34" s="474"/>
      <c r="AV34" s="474"/>
      <c r="AW34" s="474"/>
      <c r="AX34" s="474"/>
      <c r="AY34" s="474"/>
      <c r="AZ34" s="474"/>
      <c r="BA34" s="474"/>
      <c r="BB34" s="474"/>
      <c r="BC34" s="474"/>
      <c r="BD34" s="474"/>
      <c r="BE34" s="474"/>
      <c r="BF34" s="474"/>
    </row>
    <row r="35" spans="1:58" s="475" customFormat="1" ht="30" customHeight="1">
      <c r="A35" s="473"/>
      <c r="B35" s="16" t="s">
        <v>646</v>
      </c>
      <c r="C35" s="22" t="s">
        <v>10</v>
      </c>
      <c r="D35" s="45">
        <v>98615</v>
      </c>
      <c r="E35" s="22"/>
      <c r="F35" s="21" t="s">
        <v>425</v>
      </c>
      <c r="G35" s="173">
        <v>30</v>
      </c>
      <c r="H35" s="16" t="s">
        <v>11</v>
      </c>
      <c r="I35" s="19">
        <v>85.98</v>
      </c>
      <c r="J35" s="19">
        <f t="shared" si="2"/>
        <v>103.60590000000001</v>
      </c>
      <c r="K35" s="228">
        <f t="shared" si="3"/>
        <v>3108.1770000000001</v>
      </c>
      <c r="L35" s="242">
        <f>K35/K32</f>
        <v>9.4364469310819044E-2</v>
      </c>
      <c r="M35" s="258"/>
      <c r="N35" s="242"/>
      <c r="O35" s="474"/>
      <c r="P35" s="474"/>
      <c r="Q35" s="474"/>
      <c r="R35" s="474"/>
      <c r="S35" s="474"/>
      <c r="T35" s="474"/>
      <c r="U35" s="474"/>
      <c r="V35" s="474"/>
      <c r="W35" s="474"/>
      <c r="X35" s="474"/>
      <c r="Y35" s="474"/>
      <c r="Z35" s="474"/>
      <c r="AA35" s="474"/>
      <c r="AB35" s="474"/>
      <c r="AC35" s="474"/>
      <c r="AD35" s="474"/>
      <c r="AE35" s="474"/>
      <c r="AF35" s="474"/>
      <c r="AG35" s="474"/>
      <c r="AH35" s="474"/>
      <c r="AI35" s="474"/>
      <c r="AJ35" s="474"/>
      <c r="AK35" s="474"/>
      <c r="AL35" s="474"/>
      <c r="AM35" s="474"/>
      <c r="AN35" s="474"/>
      <c r="AO35" s="474"/>
      <c r="AP35" s="474"/>
      <c r="AQ35" s="474"/>
      <c r="AR35" s="474"/>
      <c r="AS35" s="474"/>
      <c r="AT35" s="474"/>
      <c r="AU35" s="474"/>
      <c r="AV35" s="474"/>
      <c r="AW35" s="474"/>
      <c r="AX35" s="474"/>
      <c r="AY35" s="474"/>
      <c r="AZ35" s="474"/>
      <c r="BA35" s="474"/>
      <c r="BB35" s="474"/>
      <c r="BC35" s="474"/>
      <c r="BD35" s="474"/>
      <c r="BE35" s="474"/>
      <c r="BF35" s="474"/>
    </row>
    <row r="36" spans="1:58" s="475" customFormat="1" ht="30" customHeight="1">
      <c r="A36" s="473"/>
      <c r="B36" s="16" t="s">
        <v>647</v>
      </c>
      <c r="C36" s="22" t="s">
        <v>10</v>
      </c>
      <c r="D36" s="40">
        <v>96616</v>
      </c>
      <c r="E36" s="22" t="s">
        <v>10</v>
      </c>
      <c r="F36" s="33" t="s">
        <v>413</v>
      </c>
      <c r="G36" s="174">
        <v>0.63</v>
      </c>
      <c r="H36" s="16" t="s">
        <v>14</v>
      </c>
      <c r="I36" s="34">
        <v>466.76</v>
      </c>
      <c r="J36" s="19">
        <f t="shared" si="2"/>
        <v>562.44579999999996</v>
      </c>
      <c r="K36" s="228">
        <f t="shared" si="3"/>
        <v>354.34085399999998</v>
      </c>
      <c r="L36" s="242">
        <f>K36/K32</f>
        <v>1.0757812905395158E-2</v>
      </c>
      <c r="M36" s="258"/>
      <c r="N36" s="242"/>
      <c r="O36" s="474"/>
      <c r="P36" s="474"/>
      <c r="Q36" s="474"/>
      <c r="R36" s="474"/>
      <c r="S36" s="474"/>
      <c r="T36" s="474"/>
      <c r="U36" s="474"/>
      <c r="V36" s="474"/>
      <c r="W36" s="474"/>
      <c r="X36" s="474"/>
      <c r="Y36" s="474"/>
      <c r="Z36" s="474"/>
      <c r="AA36" s="474"/>
      <c r="AB36" s="474"/>
      <c r="AC36" s="474"/>
      <c r="AD36" s="474"/>
      <c r="AE36" s="474"/>
      <c r="AF36" s="474"/>
      <c r="AG36" s="474"/>
      <c r="AH36" s="474"/>
      <c r="AI36" s="474"/>
      <c r="AJ36" s="474"/>
      <c r="AK36" s="474"/>
      <c r="AL36" s="474"/>
      <c r="AM36" s="474"/>
      <c r="AN36" s="474"/>
      <c r="AO36" s="474"/>
      <c r="AP36" s="474"/>
      <c r="AQ36" s="474"/>
      <c r="AR36" s="474"/>
      <c r="AS36" s="474"/>
      <c r="AT36" s="474"/>
      <c r="AU36" s="474"/>
      <c r="AV36" s="474"/>
      <c r="AW36" s="474"/>
      <c r="AX36" s="474"/>
      <c r="AY36" s="474"/>
      <c r="AZ36" s="474"/>
      <c r="BA36" s="474"/>
      <c r="BB36" s="474"/>
      <c r="BC36" s="474"/>
      <c r="BD36" s="474"/>
      <c r="BE36" s="474"/>
      <c r="BF36" s="474"/>
    </row>
    <row r="37" spans="1:58" s="475" customFormat="1" ht="30" customHeight="1">
      <c r="A37" s="473"/>
      <c r="B37" s="16" t="s">
        <v>648</v>
      </c>
      <c r="C37" s="22" t="s">
        <v>10</v>
      </c>
      <c r="D37" s="40">
        <v>95583</v>
      </c>
      <c r="E37" s="22"/>
      <c r="F37" s="21" t="s">
        <v>424</v>
      </c>
      <c r="G37" s="174">
        <v>218</v>
      </c>
      <c r="H37" s="16" t="s">
        <v>17</v>
      </c>
      <c r="I37" s="34">
        <v>12.63</v>
      </c>
      <c r="J37" s="19">
        <f t="shared" si="2"/>
        <v>15.219150000000001</v>
      </c>
      <c r="K37" s="228">
        <f t="shared" si="3"/>
        <v>3317.7747000000004</v>
      </c>
      <c r="L37" s="242">
        <f>K37/K32</f>
        <v>0.10072787002103223</v>
      </c>
      <c r="M37" s="258"/>
      <c r="N37" s="242"/>
      <c r="O37" s="474"/>
      <c r="P37" s="474"/>
      <c r="Q37" s="474"/>
      <c r="R37" s="474"/>
      <c r="S37" s="474"/>
      <c r="T37" s="474"/>
      <c r="U37" s="474"/>
      <c r="V37" s="474"/>
      <c r="W37" s="474"/>
      <c r="X37" s="474"/>
      <c r="Y37" s="474"/>
      <c r="Z37" s="474"/>
      <c r="AA37" s="474"/>
      <c r="AB37" s="474"/>
      <c r="AC37" s="474"/>
      <c r="AD37" s="474"/>
      <c r="AE37" s="474"/>
      <c r="AF37" s="474"/>
      <c r="AG37" s="474"/>
      <c r="AH37" s="474"/>
      <c r="AI37" s="474"/>
      <c r="AJ37" s="474"/>
      <c r="AK37" s="474"/>
      <c r="AL37" s="474"/>
      <c r="AM37" s="474"/>
      <c r="AN37" s="474"/>
      <c r="AO37" s="474"/>
      <c r="AP37" s="474"/>
      <c r="AQ37" s="474"/>
      <c r="AR37" s="474"/>
      <c r="AS37" s="474"/>
      <c r="AT37" s="474"/>
      <c r="AU37" s="474"/>
      <c r="AV37" s="474"/>
      <c r="AW37" s="474"/>
      <c r="AX37" s="474"/>
      <c r="AY37" s="474"/>
      <c r="AZ37" s="474"/>
      <c r="BA37" s="474"/>
      <c r="BB37" s="474"/>
      <c r="BC37" s="474"/>
      <c r="BD37" s="474"/>
      <c r="BE37" s="474"/>
      <c r="BF37" s="474"/>
    </row>
    <row r="38" spans="1:58" s="475" customFormat="1" ht="30" customHeight="1">
      <c r="A38" s="473"/>
      <c r="B38" s="16" t="s">
        <v>649</v>
      </c>
      <c r="C38" s="22" t="s">
        <v>10</v>
      </c>
      <c r="D38" s="251">
        <v>96546</v>
      </c>
      <c r="E38" s="22"/>
      <c r="F38" s="21" t="s">
        <v>420</v>
      </c>
      <c r="G38" s="173">
        <v>150</v>
      </c>
      <c r="H38" s="16" t="s">
        <v>17</v>
      </c>
      <c r="I38" s="19">
        <v>8.8000000000000007</v>
      </c>
      <c r="J38" s="19">
        <f t="shared" si="2"/>
        <v>10.604000000000001</v>
      </c>
      <c r="K38" s="228">
        <f t="shared" si="3"/>
        <v>1590.6000000000001</v>
      </c>
      <c r="L38" s="242">
        <f>K38/K32</f>
        <v>4.8290726327937177E-2</v>
      </c>
      <c r="M38" s="258"/>
      <c r="N38" s="242"/>
      <c r="O38" s="474"/>
      <c r="P38" s="474"/>
      <c r="Q38" s="474"/>
      <c r="R38" s="474"/>
      <c r="S38" s="474"/>
      <c r="T38" s="474"/>
      <c r="U38" s="474"/>
      <c r="V38" s="474"/>
      <c r="W38" s="474"/>
      <c r="X38" s="474"/>
      <c r="Y38" s="474"/>
      <c r="Z38" s="474"/>
      <c r="AA38" s="474"/>
      <c r="AB38" s="474"/>
      <c r="AC38" s="474"/>
      <c r="AD38" s="474"/>
      <c r="AE38" s="474"/>
      <c r="AF38" s="474"/>
      <c r="AG38" s="474"/>
      <c r="AH38" s="474"/>
      <c r="AI38" s="474"/>
      <c r="AJ38" s="474"/>
      <c r="AK38" s="474"/>
      <c r="AL38" s="474"/>
      <c r="AM38" s="474"/>
      <c r="AN38" s="474"/>
      <c r="AO38" s="474"/>
      <c r="AP38" s="474"/>
      <c r="AQ38" s="474"/>
      <c r="AR38" s="474"/>
      <c r="AS38" s="474"/>
      <c r="AT38" s="474"/>
      <c r="AU38" s="474"/>
      <c r="AV38" s="474"/>
      <c r="AW38" s="474"/>
      <c r="AX38" s="474"/>
      <c r="AY38" s="474"/>
      <c r="AZ38" s="474"/>
      <c r="BA38" s="474"/>
      <c r="BB38" s="474"/>
      <c r="BC38" s="474"/>
      <c r="BD38" s="474"/>
      <c r="BE38" s="474"/>
      <c r="BF38" s="474"/>
    </row>
    <row r="39" spans="1:58" s="475" customFormat="1" ht="30" customHeight="1">
      <c r="A39" s="473"/>
      <c r="B39" s="16" t="s">
        <v>650</v>
      </c>
      <c r="C39" s="22" t="s">
        <v>10</v>
      </c>
      <c r="D39" s="251">
        <v>96544</v>
      </c>
      <c r="E39" s="22"/>
      <c r="F39" s="21" t="s">
        <v>450</v>
      </c>
      <c r="G39" s="173">
        <v>100</v>
      </c>
      <c r="H39" s="16" t="s">
        <v>17</v>
      </c>
      <c r="I39" s="19">
        <v>11.5</v>
      </c>
      <c r="J39" s="19">
        <f t="shared" si="2"/>
        <v>13.8575</v>
      </c>
      <c r="K39" s="228">
        <f t="shared" si="3"/>
        <v>1385.75</v>
      </c>
      <c r="L39" s="242">
        <f>K39/K32</f>
        <v>4.2071466119036172E-2</v>
      </c>
      <c r="M39" s="258"/>
      <c r="N39" s="242"/>
      <c r="O39" s="474"/>
      <c r="P39" s="474"/>
      <c r="Q39" s="474"/>
      <c r="R39" s="474"/>
      <c r="S39" s="474"/>
      <c r="T39" s="474"/>
      <c r="U39" s="474"/>
      <c r="V39" s="474"/>
      <c r="W39" s="474"/>
      <c r="X39" s="474"/>
      <c r="Y39" s="474"/>
      <c r="Z39" s="474"/>
      <c r="AA39" s="474"/>
      <c r="AB39" s="474"/>
      <c r="AC39" s="474"/>
      <c r="AD39" s="474"/>
      <c r="AE39" s="474"/>
      <c r="AF39" s="474"/>
      <c r="AG39" s="474"/>
      <c r="AH39" s="474"/>
      <c r="AI39" s="474"/>
      <c r="AJ39" s="474"/>
      <c r="AK39" s="474"/>
      <c r="AL39" s="474"/>
      <c r="AM39" s="474"/>
      <c r="AN39" s="474"/>
      <c r="AO39" s="474"/>
      <c r="AP39" s="474"/>
      <c r="AQ39" s="474"/>
      <c r="AR39" s="474"/>
      <c r="AS39" s="474"/>
      <c r="AT39" s="474"/>
      <c r="AU39" s="474"/>
      <c r="AV39" s="474"/>
      <c r="AW39" s="474"/>
      <c r="AX39" s="474"/>
      <c r="AY39" s="474"/>
      <c r="AZ39" s="474"/>
      <c r="BA39" s="474"/>
      <c r="BB39" s="474"/>
      <c r="BC39" s="474"/>
      <c r="BD39" s="474"/>
      <c r="BE39" s="474"/>
      <c r="BF39" s="474"/>
    </row>
    <row r="40" spans="1:58" s="475" customFormat="1" ht="30" customHeight="1">
      <c r="A40" s="473"/>
      <c r="B40" s="16" t="s">
        <v>651</v>
      </c>
      <c r="C40" s="22" t="s">
        <v>10</v>
      </c>
      <c r="D40" s="40" t="s">
        <v>886</v>
      </c>
      <c r="E40" s="22" t="s">
        <v>10</v>
      </c>
      <c r="F40" s="21" t="s">
        <v>404</v>
      </c>
      <c r="G40" s="173">
        <v>15</v>
      </c>
      <c r="H40" s="16" t="s">
        <v>14</v>
      </c>
      <c r="I40" s="19">
        <v>420.49</v>
      </c>
      <c r="J40" s="19">
        <f t="shared" si="2"/>
        <v>506.69045</v>
      </c>
      <c r="K40" s="228">
        <f t="shared" si="3"/>
        <v>7600.3567499999999</v>
      </c>
      <c r="L40" s="242">
        <f>K40/K32</f>
        <v>0.23074735810948069</v>
      </c>
      <c r="M40" s="258"/>
      <c r="N40" s="242"/>
      <c r="O40" s="474"/>
      <c r="P40" s="474"/>
      <c r="Q40" s="474"/>
      <c r="R40" s="474"/>
      <c r="S40" s="474"/>
      <c r="T40" s="474"/>
      <c r="U40" s="474"/>
      <c r="V40" s="474"/>
      <c r="W40" s="474"/>
      <c r="X40" s="474"/>
      <c r="Y40" s="474"/>
      <c r="Z40" s="474"/>
      <c r="AA40" s="474"/>
      <c r="AB40" s="474"/>
      <c r="AC40" s="474"/>
      <c r="AD40" s="474"/>
      <c r="AE40" s="474"/>
      <c r="AF40" s="474"/>
      <c r="AG40" s="474"/>
      <c r="AH40" s="474"/>
      <c r="AI40" s="474"/>
      <c r="AJ40" s="474"/>
      <c r="AK40" s="474"/>
      <c r="AL40" s="474"/>
      <c r="AM40" s="474"/>
      <c r="AN40" s="474"/>
      <c r="AO40" s="474"/>
      <c r="AP40" s="474"/>
      <c r="AQ40" s="474"/>
      <c r="AR40" s="474"/>
      <c r="AS40" s="474"/>
      <c r="AT40" s="474"/>
      <c r="AU40" s="474"/>
      <c r="AV40" s="474"/>
      <c r="AW40" s="474"/>
      <c r="AX40" s="474"/>
      <c r="AY40" s="474"/>
      <c r="AZ40" s="474"/>
      <c r="BA40" s="474"/>
      <c r="BB40" s="474"/>
      <c r="BC40" s="474"/>
      <c r="BD40" s="474"/>
      <c r="BE40" s="474"/>
      <c r="BF40" s="474"/>
    </row>
    <row r="41" spans="1:58" customFormat="1" ht="25.2" customHeight="1">
      <c r="B41" s="494"/>
      <c r="C41" s="495"/>
      <c r="D41" s="496"/>
      <c r="E41" s="495"/>
      <c r="F41" s="497"/>
      <c r="G41" s="498"/>
      <c r="H41" s="495"/>
      <c r="I41" s="495"/>
      <c r="J41" s="495"/>
      <c r="K41" s="495"/>
      <c r="L41" s="499"/>
      <c r="M41" s="500"/>
      <c r="N41" s="501"/>
    </row>
    <row r="42" spans="1:58" ht="25.2" customHeight="1">
      <c r="B42" s="26" t="s">
        <v>460</v>
      </c>
      <c r="C42" s="533" t="s">
        <v>18</v>
      </c>
      <c r="D42" s="533"/>
      <c r="E42" s="533"/>
      <c r="F42" s="533"/>
      <c r="G42" s="533"/>
      <c r="H42" s="533"/>
      <c r="I42" s="533"/>
      <c r="J42" s="533"/>
      <c r="K42" s="226">
        <f>SUM(K43:K47)</f>
        <v>15101.722750000001</v>
      </c>
      <c r="L42" s="240">
        <f>SUM(L43:L47)</f>
        <v>0.99999999999999989</v>
      </c>
      <c r="M42" s="256">
        <f>K42/K60</f>
        <v>0.2863939115637274</v>
      </c>
      <c r="N42" s="240">
        <f>K42/K398</f>
        <v>2.3236264017383292E-2</v>
      </c>
    </row>
    <row r="43" spans="1:58" s="475" customFormat="1" ht="30" customHeight="1">
      <c r="A43" s="473"/>
      <c r="B43" s="16" t="s">
        <v>652</v>
      </c>
      <c r="C43" s="22" t="s">
        <v>10</v>
      </c>
      <c r="D43" s="45" t="s">
        <v>452</v>
      </c>
      <c r="E43" s="22"/>
      <c r="F43" s="21" t="s">
        <v>451</v>
      </c>
      <c r="G43" s="173">
        <v>11</v>
      </c>
      <c r="H43" s="16" t="s">
        <v>14</v>
      </c>
      <c r="I43" s="19">
        <v>150.6</v>
      </c>
      <c r="J43" s="19">
        <f t="shared" ref="J43:J47" si="4">I43*$I$3+I43</f>
        <v>181.47299999999998</v>
      </c>
      <c r="K43" s="228">
        <f t="shared" ref="K43:K47" si="5">G43*J43</f>
        <v>1996.2029999999997</v>
      </c>
      <c r="L43" s="242">
        <f>K43/K42</f>
        <v>0.13218379340198122</v>
      </c>
      <c r="M43" s="258"/>
      <c r="N43" s="242"/>
      <c r="O43" s="474"/>
      <c r="P43" s="474"/>
      <c r="Q43" s="474"/>
      <c r="R43" s="474"/>
      <c r="S43" s="474"/>
      <c r="T43" s="474"/>
      <c r="U43" s="474"/>
      <c r="V43" s="474"/>
      <c r="W43" s="474"/>
      <c r="X43" s="474"/>
      <c r="Y43" s="474"/>
      <c r="Z43" s="474"/>
      <c r="AA43" s="474"/>
      <c r="AB43" s="474"/>
      <c r="AC43" s="474"/>
      <c r="AD43" s="474"/>
      <c r="AE43" s="474"/>
      <c r="AF43" s="474"/>
      <c r="AG43" s="474"/>
      <c r="AH43" s="474"/>
      <c r="AI43" s="474"/>
      <c r="AJ43" s="474"/>
      <c r="AK43" s="474"/>
      <c r="AL43" s="474"/>
      <c r="AM43" s="474"/>
      <c r="AN43" s="474"/>
      <c r="AO43" s="474"/>
      <c r="AP43" s="474"/>
      <c r="AQ43" s="474"/>
      <c r="AR43" s="474"/>
      <c r="AS43" s="474"/>
      <c r="AT43" s="474"/>
      <c r="AU43" s="474"/>
      <c r="AV43" s="474"/>
      <c r="AW43" s="474"/>
      <c r="AX43" s="474"/>
      <c r="AY43" s="474"/>
      <c r="AZ43" s="474"/>
      <c r="BA43" s="474"/>
      <c r="BB43" s="474"/>
      <c r="BC43" s="474"/>
      <c r="BD43" s="474"/>
      <c r="BE43" s="474"/>
      <c r="BF43" s="474"/>
    </row>
    <row r="44" spans="1:58" s="475" customFormat="1" ht="30" customHeight="1">
      <c r="A44" s="473"/>
      <c r="B44" s="16" t="s">
        <v>653</v>
      </c>
      <c r="C44" s="22" t="s">
        <v>10</v>
      </c>
      <c r="D44" s="45" t="s">
        <v>454</v>
      </c>
      <c r="E44" s="22" t="s">
        <v>10</v>
      </c>
      <c r="F44" s="21" t="s">
        <v>414</v>
      </c>
      <c r="G44" s="173">
        <v>100</v>
      </c>
      <c r="H44" s="16" t="s">
        <v>17</v>
      </c>
      <c r="I44" s="19">
        <v>13.17</v>
      </c>
      <c r="J44" s="19">
        <f t="shared" si="4"/>
        <v>15.86985</v>
      </c>
      <c r="K44" s="228">
        <f t="shared" si="5"/>
        <v>1586.9849999999999</v>
      </c>
      <c r="L44" s="242">
        <f>K44/K42</f>
        <v>0.10508635513123825</v>
      </c>
      <c r="M44" s="258"/>
      <c r="N44" s="242"/>
      <c r="O44" s="474"/>
      <c r="P44" s="474"/>
      <c r="Q44" s="474"/>
      <c r="R44" s="474"/>
      <c r="S44" s="474"/>
      <c r="T44" s="474"/>
      <c r="U44" s="474"/>
      <c r="V44" s="474"/>
      <c r="W44" s="474"/>
      <c r="X44" s="474"/>
      <c r="Y44" s="474"/>
      <c r="Z44" s="474"/>
      <c r="AA44" s="474"/>
      <c r="AB44" s="474"/>
      <c r="AC44" s="474"/>
      <c r="AD44" s="474"/>
      <c r="AE44" s="474"/>
      <c r="AF44" s="474"/>
      <c r="AG44" s="474"/>
      <c r="AH44" s="474"/>
      <c r="AI44" s="474"/>
      <c r="AJ44" s="474"/>
      <c r="AK44" s="474"/>
      <c r="AL44" s="474"/>
      <c r="AM44" s="474"/>
      <c r="AN44" s="474"/>
      <c r="AO44" s="474"/>
      <c r="AP44" s="474"/>
      <c r="AQ44" s="474"/>
      <c r="AR44" s="474"/>
      <c r="AS44" s="474"/>
      <c r="AT44" s="474"/>
      <c r="AU44" s="474"/>
      <c r="AV44" s="474"/>
      <c r="AW44" s="474"/>
      <c r="AX44" s="474"/>
      <c r="AY44" s="474"/>
      <c r="AZ44" s="474"/>
      <c r="BA44" s="474"/>
      <c r="BB44" s="474"/>
      <c r="BC44" s="474"/>
      <c r="BD44" s="474"/>
      <c r="BE44" s="474"/>
      <c r="BF44" s="474"/>
    </row>
    <row r="45" spans="1:58" s="475" customFormat="1" ht="30" customHeight="1">
      <c r="A45" s="473"/>
      <c r="B45" s="16" t="s">
        <v>654</v>
      </c>
      <c r="C45" s="22" t="s">
        <v>10</v>
      </c>
      <c r="D45" s="45" t="s">
        <v>455</v>
      </c>
      <c r="E45" s="22" t="s">
        <v>10</v>
      </c>
      <c r="F45" s="21" t="s">
        <v>453</v>
      </c>
      <c r="G45" s="173">
        <v>400</v>
      </c>
      <c r="H45" s="16" t="s">
        <v>17</v>
      </c>
      <c r="I45" s="19">
        <v>7.26</v>
      </c>
      <c r="J45" s="19">
        <f t="shared" si="4"/>
        <v>8.7483000000000004</v>
      </c>
      <c r="K45" s="228">
        <f t="shared" si="5"/>
        <v>3499.32</v>
      </c>
      <c r="L45" s="242">
        <f>K45/K42</f>
        <v>0.23171660994769619</v>
      </c>
      <c r="M45" s="258"/>
      <c r="N45" s="242"/>
      <c r="O45" s="474"/>
      <c r="P45" s="474"/>
      <c r="Q45" s="474"/>
      <c r="R45" s="474"/>
      <c r="S45" s="474"/>
      <c r="T45" s="474"/>
      <c r="U45" s="474"/>
      <c r="V45" s="474"/>
      <c r="W45" s="474"/>
      <c r="X45" s="474"/>
      <c r="Y45" s="474"/>
      <c r="Z45" s="474"/>
      <c r="AA45" s="474"/>
      <c r="AB45" s="474"/>
      <c r="AC45" s="474"/>
      <c r="AD45" s="474"/>
      <c r="AE45" s="474"/>
      <c r="AF45" s="474"/>
      <c r="AG45" s="474"/>
      <c r="AH45" s="474"/>
      <c r="AI45" s="474"/>
      <c r="AJ45" s="474"/>
      <c r="AK45" s="474"/>
      <c r="AL45" s="474"/>
      <c r="AM45" s="474"/>
      <c r="AN45" s="474"/>
      <c r="AO45" s="474"/>
      <c r="AP45" s="474"/>
      <c r="AQ45" s="474"/>
      <c r="AR45" s="474"/>
      <c r="AS45" s="474"/>
      <c r="AT45" s="474"/>
      <c r="AU45" s="474"/>
      <c r="AV45" s="474"/>
      <c r="AW45" s="474"/>
      <c r="AX45" s="474"/>
      <c r="AY45" s="474"/>
      <c r="AZ45" s="474"/>
      <c r="BA45" s="474"/>
      <c r="BB45" s="474"/>
      <c r="BC45" s="474"/>
      <c r="BD45" s="474"/>
      <c r="BE45" s="474"/>
      <c r="BF45" s="474"/>
    </row>
    <row r="46" spans="1:58" s="475" customFormat="1" ht="30" customHeight="1">
      <c r="A46" s="473"/>
      <c r="B46" s="16" t="s">
        <v>655</v>
      </c>
      <c r="C46" s="22" t="s">
        <v>10</v>
      </c>
      <c r="D46" s="45">
        <v>96557</v>
      </c>
      <c r="E46" s="22" t="s">
        <v>10</v>
      </c>
      <c r="F46" s="21" t="s">
        <v>404</v>
      </c>
      <c r="G46" s="173">
        <v>5</v>
      </c>
      <c r="H46" s="16" t="s">
        <v>14</v>
      </c>
      <c r="I46" s="19">
        <v>420.49</v>
      </c>
      <c r="J46" s="19">
        <f t="shared" si="4"/>
        <v>506.69045</v>
      </c>
      <c r="K46" s="228">
        <f t="shared" si="5"/>
        <v>2533.4522499999998</v>
      </c>
      <c r="L46" s="242">
        <f>K46/K42</f>
        <v>0.16775915515996342</v>
      </c>
      <c r="M46" s="258"/>
      <c r="N46" s="242"/>
      <c r="O46" s="474"/>
      <c r="P46" s="474"/>
      <c r="Q46" s="474"/>
      <c r="R46" s="474"/>
      <c r="S46" s="474"/>
      <c r="T46" s="474"/>
      <c r="U46" s="474"/>
      <c r="V46" s="474"/>
      <c r="W46" s="474"/>
      <c r="X46" s="474"/>
      <c r="Y46" s="474"/>
      <c r="Z46" s="474"/>
      <c r="AA46" s="474"/>
      <c r="AB46" s="474"/>
      <c r="AC46" s="474"/>
      <c r="AD46" s="474"/>
      <c r="AE46" s="474"/>
      <c r="AF46" s="474"/>
      <c r="AG46" s="474"/>
      <c r="AH46" s="474"/>
      <c r="AI46" s="474"/>
      <c r="AJ46" s="474"/>
      <c r="AK46" s="474"/>
      <c r="AL46" s="474"/>
      <c r="AM46" s="474"/>
      <c r="AN46" s="474"/>
      <c r="AO46" s="474"/>
      <c r="AP46" s="474"/>
      <c r="AQ46" s="474"/>
      <c r="AR46" s="474"/>
      <c r="AS46" s="474"/>
      <c r="AT46" s="474"/>
      <c r="AU46" s="474"/>
      <c r="AV46" s="474"/>
      <c r="AW46" s="474"/>
      <c r="AX46" s="474"/>
      <c r="AY46" s="474"/>
      <c r="AZ46" s="474"/>
      <c r="BA46" s="474"/>
      <c r="BB46" s="474"/>
      <c r="BC46" s="474"/>
      <c r="BD46" s="474"/>
      <c r="BE46" s="474"/>
      <c r="BF46" s="474"/>
    </row>
    <row r="47" spans="1:58" s="475" customFormat="1" ht="30" customHeight="1">
      <c r="A47" s="473"/>
      <c r="B47" s="16" t="s">
        <v>656</v>
      </c>
      <c r="C47" s="22" t="s">
        <v>10</v>
      </c>
      <c r="D47" s="180">
        <v>98557</v>
      </c>
      <c r="E47" s="22"/>
      <c r="F47" s="21" t="s">
        <v>430</v>
      </c>
      <c r="G47" s="173">
        <v>150</v>
      </c>
      <c r="H47" s="16" t="s">
        <v>15</v>
      </c>
      <c r="I47" s="19">
        <v>30.35</v>
      </c>
      <c r="J47" s="19">
        <f t="shared" si="4"/>
        <v>36.571750000000002</v>
      </c>
      <c r="K47" s="228">
        <f t="shared" si="5"/>
        <v>5485.7624999999998</v>
      </c>
      <c r="L47" s="242">
        <f>K47/K42</f>
        <v>0.36325408635912082</v>
      </c>
      <c r="M47" s="258"/>
      <c r="N47" s="242"/>
      <c r="O47" s="474"/>
      <c r="P47" s="474"/>
      <c r="Q47" s="474"/>
      <c r="R47" s="474"/>
      <c r="S47" s="474"/>
      <c r="T47" s="474"/>
      <c r="U47" s="474"/>
      <c r="V47" s="474"/>
      <c r="W47" s="474"/>
      <c r="X47" s="474"/>
      <c r="Y47" s="474"/>
      <c r="Z47" s="474"/>
      <c r="AA47" s="474"/>
      <c r="AB47" s="474"/>
      <c r="AC47" s="474"/>
      <c r="AD47" s="474"/>
      <c r="AE47" s="474"/>
      <c r="AF47" s="474"/>
      <c r="AG47" s="474"/>
      <c r="AH47" s="474"/>
      <c r="AI47" s="474"/>
      <c r="AJ47" s="474"/>
      <c r="AK47" s="474"/>
      <c r="AL47" s="474"/>
      <c r="AM47" s="474"/>
      <c r="AN47" s="474"/>
      <c r="AO47" s="474"/>
      <c r="AP47" s="474"/>
      <c r="AQ47" s="474"/>
      <c r="AR47" s="474"/>
      <c r="AS47" s="474"/>
      <c r="AT47" s="474"/>
      <c r="AU47" s="474"/>
      <c r="AV47" s="474"/>
      <c r="AW47" s="474"/>
      <c r="AX47" s="474"/>
      <c r="AY47" s="474"/>
      <c r="AZ47" s="474"/>
      <c r="BA47" s="474"/>
      <c r="BB47" s="474"/>
      <c r="BC47" s="474"/>
      <c r="BD47" s="474"/>
      <c r="BE47" s="474"/>
      <c r="BF47" s="474"/>
    </row>
    <row r="48" spans="1:58" customFormat="1" ht="25.2" customHeight="1">
      <c r="B48" s="494"/>
      <c r="C48" s="495"/>
      <c r="D48" s="496"/>
      <c r="E48" s="495"/>
      <c r="F48" s="497"/>
      <c r="G48" s="498"/>
      <c r="H48" s="495"/>
      <c r="I48" s="495"/>
      <c r="J48" s="495"/>
      <c r="K48" s="495"/>
      <c r="L48" s="499"/>
      <c r="M48" s="500"/>
      <c r="N48" s="501"/>
    </row>
    <row r="49" spans="1:58" ht="25.2" customHeight="1">
      <c r="B49" s="26" t="s">
        <v>461</v>
      </c>
      <c r="C49" s="533" t="s">
        <v>391</v>
      </c>
      <c r="D49" s="533"/>
      <c r="E49" s="533"/>
      <c r="F49" s="533"/>
      <c r="G49" s="533"/>
      <c r="H49" s="533"/>
      <c r="I49" s="533"/>
      <c r="J49" s="533"/>
      <c r="K49" s="226">
        <f>SUM(K50:K58)</f>
        <v>4690.8759355000002</v>
      </c>
      <c r="L49" s="240">
        <f>SUM(L50:L58)</f>
        <v>0.99999999999999989</v>
      </c>
      <c r="M49" s="256">
        <f>K49/K60</f>
        <v>8.895927504880223E-2</v>
      </c>
      <c r="N49" s="240">
        <f>K49/K398</f>
        <v>7.2176157326201626E-3</v>
      </c>
    </row>
    <row r="50" spans="1:58" s="475" customFormat="1" ht="50.4" customHeight="1">
      <c r="A50" s="473"/>
      <c r="B50" s="16" t="s">
        <v>657</v>
      </c>
      <c r="C50" s="22" t="s">
        <v>10</v>
      </c>
      <c r="D50" s="45">
        <v>90082</v>
      </c>
      <c r="E50" s="20"/>
      <c r="F50" s="21" t="s">
        <v>418</v>
      </c>
      <c r="G50" s="210">
        <v>8</v>
      </c>
      <c r="H50" s="16" t="s">
        <v>14</v>
      </c>
      <c r="I50" s="221">
        <v>7.59</v>
      </c>
      <c r="J50" s="19">
        <f t="shared" ref="J50:J58" si="6">I50*$I$3+I50</f>
        <v>9.1459499999999991</v>
      </c>
      <c r="K50" s="228">
        <f t="shared" ref="K50:K58" si="7">G50*J50</f>
        <v>73.167599999999993</v>
      </c>
      <c r="L50" s="242">
        <f>K50/K49</f>
        <v>1.5597854431893233E-2</v>
      </c>
      <c r="M50" s="258"/>
      <c r="N50" s="242"/>
      <c r="O50" s="474"/>
      <c r="P50" s="474"/>
      <c r="Q50" s="474"/>
      <c r="R50" s="474"/>
      <c r="S50" s="474"/>
      <c r="T50" s="474"/>
      <c r="U50" s="474"/>
      <c r="V50" s="474"/>
      <c r="W50" s="474"/>
      <c r="X50" s="474"/>
      <c r="Y50" s="474"/>
      <c r="Z50" s="474"/>
      <c r="AA50" s="474"/>
      <c r="AB50" s="474"/>
      <c r="AC50" s="474"/>
      <c r="AD50" s="474"/>
      <c r="AE50" s="474"/>
      <c r="AF50" s="474"/>
      <c r="AG50" s="474"/>
      <c r="AH50" s="474"/>
      <c r="AI50" s="474"/>
      <c r="AJ50" s="474"/>
      <c r="AK50" s="474"/>
      <c r="AL50" s="474"/>
      <c r="AM50" s="474"/>
      <c r="AN50" s="474"/>
      <c r="AO50" s="474"/>
      <c r="AP50" s="474"/>
      <c r="AQ50" s="474"/>
      <c r="AR50" s="474"/>
      <c r="AS50" s="474"/>
      <c r="AT50" s="474"/>
      <c r="AU50" s="474"/>
      <c r="AV50" s="474"/>
      <c r="AW50" s="474"/>
      <c r="AX50" s="474"/>
      <c r="AY50" s="474"/>
      <c r="AZ50" s="474"/>
      <c r="BA50" s="474"/>
      <c r="BB50" s="474"/>
      <c r="BC50" s="474"/>
      <c r="BD50" s="474"/>
      <c r="BE50" s="474"/>
      <c r="BF50" s="474"/>
    </row>
    <row r="51" spans="1:58" s="475" customFormat="1" ht="30" customHeight="1">
      <c r="A51" s="473"/>
      <c r="B51" s="16" t="s">
        <v>658</v>
      </c>
      <c r="C51" s="22" t="s">
        <v>10</v>
      </c>
      <c r="D51" s="45">
        <v>91597</v>
      </c>
      <c r="E51" s="20"/>
      <c r="F51" s="21" t="s">
        <v>423</v>
      </c>
      <c r="G51" s="210">
        <v>21</v>
      </c>
      <c r="H51" s="16" t="s">
        <v>17</v>
      </c>
      <c r="I51" s="221">
        <v>5.08</v>
      </c>
      <c r="J51" s="19">
        <f t="shared" si="6"/>
        <v>6.1213999999999995</v>
      </c>
      <c r="K51" s="228">
        <f t="shared" si="7"/>
        <v>128.54939999999999</v>
      </c>
      <c r="L51" s="242">
        <f>K51/K49</f>
        <v>2.7404135553266967E-2</v>
      </c>
      <c r="M51" s="258"/>
      <c r="N51" s="242"/>
      <c r="O51" s="474"/>
      <c r="P51" s="474"/>
      <c r="Q51" s="474"/>
      <c r="R51" s="474"/>
      <c r="S51" s="474"/>
      <c r="T51" s="474"/>
      <c r="U51" s="474"/>
      <c r="V51" s="474"/>
      <c r="W51" s="474"/>
      <c r="X51" s="474"/>
      <c r="Y51" s="474"/>
      <c r="Z51" s="474"/>
      <c r="AA51" s="474"/>
      <c r="AB51" s="474"/>
      <c r="AC51" s="474"/>
      <c r="AD51" s="474"/>
      <c r="AE51" s="474"/>
      <c r="AF51" s="474"/>
      <c r="AG51" s="474"/>
      <c r="AH51" s="474"/>
      <c r="AI51" s="474"/>
      <c r="AJ51" s="474"/>
      <c r="AK51" s="474"/>
      <c r="AL51" s="474"/>
      <c r="AM51" s="474"/>
      <c r="AN51" s="474"/>
      <c r="AO51" s="474"/>
      <c r="AP51" s="474"/>
      <c r="AQ51" s="474"/>
      <c r="AR51" s="474"/>
      <c r="AS51" s="474"/>
      <c r="AT51" s="474"/>
      <c r="AU51" s="474"/>
      <c r="AV51" s="474"/>
      <c r="AW51" s="474"/>
      <c r="AX51" s="474"/>
      <c r="AY51" s="474"/>
      <c r="AZ51" s="474"/>
      <c r="BA51" s="474"/>
      <c r="BB51" s="474"/>
      <c r="BC51" s="474"/>
      <c r="BD51" s="474"/>
      <c r="BE51" s="474"/>
      <c r="BF51" s="474"/>
    </row>
    <row r="52" spans="1:58" s="475" customFormat="1" ht="30" customHeight="1">
      <c r="A52" s="473"/>
      <c r="B52" s="16" t="s">
        <v>659</v>
      </c>
      <c r="C52" s="22" t="s">
        <v>10</v>
      </c>
      <c r="D52" s="45">
        <v>96616</v>
      </c>
      <c r="E52" s="22" t="s">
        <v>10</v>
      </c>
      <c r="F52" s="21" t="s">
        <v>413</v>
      </c>
      <c r="G52" s="173">
        <v>1</v>
      </c>
      <c r="H52" s="16" t="s">
        <v>14</v>
      </c>
      <c r="I52" s="19">
        <v>466.76</v>
      </c>
      <c r="J52" s="19">
        <f t="shared" si="6"/>
        <v>562.44579999999996</v>
      </c>
      <c r="K52" s="228">
        <f t="shared" si="7"/>
        <v>562.44579999999996</v>
      </c>
      <c r="L52" s="242">
        <f>K52/K49</f>
        <v>0.11990208390366412</v>
      </c>
      <c r="M52" s="258"/>
      <c r="N52" s="242"/>
      <c r="O52" s="474"/>
      <c r="P52" s="474"/>
      <c r="Q52" s="474"/>
      <c r="R52" s="474"/>
      <c r="S52" s="474"/>
      <c r="T52" s="474"/>
      <c r="U52" s="474"/>
      <c r="V52" s="474"/>
      <c r="W52" s="474"/>
      <c r="X52" s="474"/>
      <c r="Y52" s="474"/>
      <c r="Z52" s="474"/>
      <c r="AA52" s="474"/>
      <c r="AB52" s="474"/>
      <c r="AC52" s="474"/>
      <c r="AD52" s="474"/>
      <c r="AE52" s="474"/>
      <c r="AF52" s="474"/>
      <c r="AG52" s="474"/>
      <c r="AH52" s="474"/>
      <c r="AI52" s="474"/>
      <c r="AJ52" s="474"/>
      <c r="AK52" s="474"/>
      <c r="AL52" s="474"/>
      <c r="AM52" s="474"/>
      <c r="AN52" s="474"/>
      <c r="AO52" s="474"/>
      <c r="AP52" s="474"/>
      <c r="AQ52" s="474"/>
      <c r="AR52" s="474"/>
      <c r="AS52" s="474"/>
      <c r="AT52" s="474"/>
      <c r="AU52" s="474"/>
      <c r="AV52" s="474"/>
      <c r="AW52" s="474"/>
      <c r="AX52" s="474"/>
      <c r="AY52" s="474"/>
      <c r="AZ52" s="474"/>
      <c r="BA52" s="474"/>
      <c r="BB52" s="474"/>
      <c r="BC52" s="474"/>
      <c r="BD52" s="474"/>
      <c r="BE52" s="474"/>
      <c r="BF52" s="474"/>
    </row>
    <row r="53" spans="1:58" s="475" customFormat="1" ht="30" customHeight="1">
      <c r="A53" s="473"/>
      <c r="B53" s="16" t="s">
        <v>660</v>
      </c>
      <c r="C53" s="22" t="s">
        <v>10</v>
      </c>
      <c r="D53" s="45">
        <v>94967</v>
      </c>
      <c r="E53" s="22"/>
      <c r="F53" s="21" t="s">
        <v>419</v>
      </c>
      <c r="G53" s="173">
        <v>2.5</v>
      </c>
      <c r="H53" s="16" t="s">
        <v>14</v>
      </c>
      <c r="I53" s="19">
        <v>388.93</v>
      </c>
      <c r="J53" s="19">
        <f t="shared" si="6"/>
        <v>468.66065000000003</v>
      </c>
      <c r="K53" s="228">
        <f t="shared" si="7"/>
        <v>1171.651625</v>
      </c>
      <c r="L53" s="242">
        <f>K53/K49</f>
        <v>0.2497724606470782</v>
      </c>
      <c r="M53" s="258"/>
      <c r="N53" s="242"/>
      <c r="O53" s="474"/>
      <c r="P53" s="474"/>
      <c r="Q53" s="474"/>
      <c r="R53" s="474"/>
      <c r="S53" s="474"/>
      <c r="T53" s="474"/>
      <c r="U53" s="474"/>
      <c r="V53" s="474"/>
      <c r="W53" s="474"/>
      <c r="X53" s="474"/>
      <c r="Y53" s="474"/>
      <c r="Z53" s="474"/>
      <c r="AA53" s="474"/>
      <c r="AB53" s="474"/>
      <c r="AC53" s="474"/>
      <c r="AD53" s="474"/>
      <c r="AE53" s="474"/>
      <c r="AF53" s="474"/>
      <c r="AG53" s="474"/>
      <c r="AH53" s="474"/>
      <c r="AI53" s="474"/>
      <c r="AJ53" s="474"/>
      <c r="AK53" s="474"/>
      <c r="AL53" s="474"/>
      <c r="AM53" s="474"/>
      <c r="AN53" s="474"/>
      <c r="AO53" s="474"/>
      <c r="AP53" s="474"/>
      <c r="AQ53" s="474"/>
      <c r="AR53" s="474"/>
      <c r="AS53" s="474"/>
      <c r="AT53" s="474"/>
      <c r="AU53" s="474"/>
      <c r="AV53" s="474"/>
      <c r="AW53" s="474"/>
      <c r="AX53" s="474"/>
      <c r="AY53" s="474"/>
      <c r="AZ53" s="474"/>
      <c r="BA53" s="474"/>
      <c r="BB53" s="474"/>
      <c r="BC53" s="474"/>
      <c r="BD53" s="474"/>
      <c r="BE53" s="474"/>
      <c r="BF53" s="474"/>
    </row>
    <row r="54" spans="1:58" s="475" customFormat="1" ht="30" customHeight="1">
      <c r="A54" s="473"/>
      <c r="B54" s="16" t="s">
        <v>661</v>
      </c>
      <c r="C54" s="22" t="s">
        <v>10</v>
      </c>
      <c r="D54" s="45">
        <v>97095</v>
      </c>
      <c r="E54" s="22"/>
      <c r="F54" s="21" t="s">
        <v>426</v>
      </c>
      <c r="G54" s="173">
        <v>0.73</v>
      </c>
      <c r="H54" s="16" t="s">
        <v>14</v>
      </c>
      <c r="I54" s="19">
        <v>401.27</v>
      </c>
      <c r="J54" s="19">
        <f t="shared" si="6"/>
        <v>483.53035</v>
      </c>
      <c r="K54" s="228">
        <f t="shared" si="7"/>
        <v>352.97715549999998</v>
      </c>
      <c r="L54" s="242">
        <f>K54/K49</f>
        <v>7.5247599884002508E-2</v>
      </c>
      <c r="M54" s="258"/>
      <c r="N54" s="242"/>
      <c r="O54" s="474"/>
      <c r="P54" s="474"/>
      <c r="Q54" s="474"/>
      <c r="R54" s="474"/>
      <c r="S54" s="474"/>
      <c r="T54" s="474"/>
      <c r="U54" s="474"/>
      <c r="V54" s="474"/>
      <c r="W54" s="474"/>
      <c r="X54" s="474"/>
      <c r="Y54" s="474"/>
      <c r="Z54" s="474"/>
      <c r="AA54" s="474"/>
      <c r="AB54" s="474"/>
      <c r="AC54" s="474"/>
      <c r="AD54" s="474"/>
      <c r="AE54" s="474"/>
      <c r="AF54" s="474"/>
      <c r="AG54" s="474"/>
      <c r="AH54" s="474"/>
      <c r="AI54" s="474"/>
      <c r="AJ54" s="474"/>
      <c r="AK54" s="474"/>
      <c r="AL54" s="474"/>
      <c r="AM54" s="474"/>
      <c r="AN54" s="474"/>
      <c r="AO54" s="474"/>
      <c r="AP54" s="474"/>
      <c r="AQ54" s="474"/>
      <c r="AR54" s="474"/>
      <c r="AS54" s="474"/>
      <c r="AT54" s="474"/>
      <c r="AU54" s="474"/>
      <c r="AV54" s="474"/>
      <c r="AW54" s="474"/>
      <c r="AX54" s="474"/>
      <c r="AY54" s="474"/>
      <c r="AZ54" s="474"/>
      <c r="BA54" s="474"/>
      <c r="BB54" s="474"/>
      <c r="BC54" s="474"/>
      <c r="BD54" s="474"/>
      <c r="BE54" s="474"/>
      <c r="BF54" s="474"/>
    </row>
    <row r="55" spans="1:58" s="475" customFormat="1" ht="42.6" customHeight="1">
      <c r="A55" s="473"/>
      <c r="B55" s="16" t="s">
        <v>662</v>
      </c>
      <c r="C55" s="22" t="s">
        <v>10</v>
      </c>
      <c r="D55" s="40">
        <v>99439</v>
      </c>
      <c r="E55" s="22" t="s">
        <v>10</v>
      </c>
      <c r="F55" s="21" t="s">
        <v>422</v>
      </c>
      <c r="G55" s="173">
        <v>1</v>
      </c>
      <c r="H55" s="16" t="s">
        <v>14</v>
      </c>
      <c r="I55" s="19">
        <v>444.59</v>
      </c>
      <c r="J55" s="19">
        <f t="shared" si="6"/>
        <v>535.73095000000001</v>
      </c>
      <c r="K55" s="228">
        <f t="shared" si="7"/>
        <v>535.73095000000001</v>
      </c>
      <c r="L55" s="242">
        <f>K55/K49</f>
        <v>0.11420701748806675</v>
      </c>
      <c r="M55" s="258"/>
      <c r="N55" s="242"/>
      <c r="O55" s="474"/>
      <c r="P55" s="474"/>
      <c r="Q55" s="474"/>
      <c r="R55" s="474"/>
      <c r="S55" s="474"/>
      <c r="T55" s="474"/>
      <c r="U55" s="474"/>
      <c r="V55" s="474"/>
      <c r="W55" s="474"/>
      <c r="X55" s="474"/>
      <c r="Y55" s="474"/>
      <c r="Z55" s="474"/>
      <c r="AA55" s="474"/>
      <c r="AB55" s="474"/>
      <c r="AC55" s="474"/>
      <c r="AD55" s="474"/>
      <c r="AE55" s="474"/>
      <c r="AF55" s="474"/>
      <c r="AG55" s="474"/>
      <c r="AH55" s="474"/>
      <c r="AI55" s="474"/>
      <c r="AJ55" s="474"/>
      <c r="AK55" s="474"/>
      <c r="AL55" s="474"/>
      <c r="AM55" s="474"/>
      <c r="AN55" s="474"/>
      <c r="AO55" s="474"/>
      <c r="AP55" s="474"/>
      <c r="AQ55" s="474"/>
      <c r="AR55" s="474"/>
      <c r="AS55" s="474"/>
      <c r="AT55" s="474"/>
      <c r="AU55" s="474"/>
      <c r="AV55" s="474"/>
      <c r="AW55" s="474"/>
      <c r="AX55" s="474"/>
      <c r="AY55" s="474"/>
      <c r="AZ55" s="474"/>
      <c r="BA55" s="474"/>
      <c r="BB55" s="474"/>
      <c r="BC55" s="474"/>
      <c r="BD55" s="474"/>
      <c r="BE55" s="474"/>
      <c r="BF55" s="474"/>
    </row>
    <row r="56" spans="1:58" s="475" customFormat="1" ht="30" customHeight="1">
      <c r="A56" s="473"/>
      <c r="B56" s="16" t="s">
        <v>663</v>
      </c>
      <c r="C56" s="22" t="s">
        <v>10</v>
      </c>
      <c r="D56" s="180">
        <v>98556</v>
      </c>
      <c r="E56" s="22"/>
      <c r="F56" s="21" t="s">
        <v>431</v>
      </c>
      <c r="G56" s="173">
        <v>30</v>
      </c>
      <c r="H56" s="16" t="s">
        <v>15</v>
      </c>
      <c r="I56" s="19">
        <v>35.54</v>
      </c>
      <c r="J56" s="19">
        <f t="shared" si="6"/>
        <v>42.825699999999998</v>
      </c>
      <c r="K56" s="228">
        <f t="shared" si="7"/>
        <v>1284.771</v>
      </c>
      <c r="L56" s="242">
        <f>K56/K49</f>
        <v>0.27388722653630709</v>
      </c>
      <c r="M56" s="258"/>
      <c r="N56" s="242"/>
      <c r="O56" s="474"/>
      <c r="P56" s="474"/>
      <c r="Q56" s="474"/>
      <c r="R56" s="474"/>
      <c r="S56" s="474"/>
      <c r="T56" s="474"/>
      <c r="U56" s="474"/>
      <c r="V56" s="474"/>
      <c r="W56" s="474"/>
      <c r="X56" s="474"/>
      <c r="Y56" s="474"/>
      <c r="Z56" s="474"/>
      <c r="AA56" s="474"/>
      <c r="AB56" s="474"/>
      <c r="AC56" s="474"/>
      <c r="AD56" s="474"/>
      <c r="AE56" s="474"/>
      <c r="AF56" s="474"/>
      <c r="AG56" s="474"/>
      <c r="AH56" s="474"/>
      <c r="AI56" s="474"/>
      <c r="AJ56" s="474"/>
      <c r="AK56" s="474"/>
      <c r="AL56" s="474"/>
      <c r="AM56" s="474"/>
      <c r="AN56" s="474"/>
      <c r="AO56" s="474"/>
      <c r="AP56" s="474"/>
      <c r="AQ56" s="474"/>
      <c r="AR56" s="474"/>
      <c r="AS56" s="474"/>
      <c r="AT56" s="474"/>
      <c r="AU56" s="474"/>
      <c r="AV56" s="474"/>
      <c r="AW56" s="474"/>
      <c r="AX56" s="474"/>
      <c r="AY56" s="474"/>
      <c r="AZ56" s="474"/>
      <c r="BA56" s="474"/>
      <c r="BB56" s="474"/>
      <c r="BC56" s="474"/>
      <c r="BD56" s="474"/>
      <c r="BE56" s="474"/>
      <c r="BF56" s="474"/>
    </row>
    <row r="57" spans="1:58" s="475" customFormat="1" ht="30" customHeight="1">
      <c r="A57" s="473"/>
      <c r="B57" s="16" t="s">
        <v>664</v>
      </c>
      <c r="C57" s="22" t="s">
        <v>10</v>
      </c>
      <c r="D57" s="40" t="s">
        <v>403</v>
      </c>
      <c r="E57" s="22" t="s">
        <v>10</v>
      </c>
      <c r="F57" s="33" t="s">
        <v>456</v>
      </c>
      <c r="G57" s="174">
        <v>5.3</v>
      </c>
      <c r="H57" s="16" t="s">
        <v>15</v>
      </c>
      <c r="I57" s="34">
        <v>77.569999999999993</v>
      </c>
      <c r="J57" s="19">
        <f t="shared" si="6"/>
        <v>93.471849999999989</v>
      </c>
      <c r="K57" s="228">
        <f t="shared" si="7"/>
        <v>495.40080499999993</v>
      </c>
      <c r="L57" s="242">
        <f>K57/K49</f>
        <v>0.10560944518930135</v>
      </c>
      <c r="M57" s="258"/>
      <c r="N57" s="242"/>
      <c r="O57" s="474"/>
      <c r="P57" s="474"/>
      <c r="Q57" s="474"/>
      <c r="R57" s="474"/>
      <c r="S57" s="474"/>
      <c r="T57" s="474"/>
      <c r="U57" s="474"/>
      <c r="V57" s="474"/>
      <c r="W57" s="474"/>
      <c r="X57" s="474"/>
      <c r="Y57" s="474"/>
      <c r="Z57" s="474"/>
      <c r="AA57" s="474"/>
      <c r="AB57" s="474"/>
      <c r="AC57" s="474"/>
      <c r="AD57" s="474"/>
      <c r="AE57" s="474"/>
      <c r="AF57" s="474"/>
      <c r="AG57" s="474"/>
      <c r="AH57" s="474"/>
      <c r="AI57" s="474"/>
      <c r="AJ57" s="474"/>
      <c r="AK57" s="474"/>
      <c r="AL57" s="474"/>
      <c r="AM57" s="474"/>
      <c r="AN57" s="474"/>
      <c r="AO57" s="474"/>
      <c r="AP57" s="474"/>
      <c r="AQ57" s="474"/>
      <c r="AR57" s="474"/>
      <c r="AS57" s="474"/>
      <c r="AT57" s="474"/>
      <c r="AU57" s="474"/>
      <c r="AV57" s="474"/>
      <c r="AW57" s="474"/>
      <c r="AX57" s="474"/>
      <c r="AY57" s="474"/>
      <c r="AZ57" s="474"/>
      <c r="BA57" s="474"/>
      <c r="BB57" s="474"/>
      <c r="BC57" s="474"/>
      <c r="BD57" s="474"/>
      <c r="BE57" s="474"/>
      <c r="BF57" s="474"/>
    </row>
    <row r="58" spans="1:58" s="475" customFormat="1" ht="30" customHeight="1">
      <c r="A58" s="473"/>
      <c r="B58" s="16" t="s">
        <v>665</v>
      </c>
      <c r="C58" s="22" t="s">
        <v>10</v>
      </c>
      <c r="D58" s="40">
        <v>6171</v>
      </c>
      <c r="E58" s="22"/>
      <c r="F58" s="33" t="s">
        <v>432</v>
      </c>
      <c r="G58" s="173">
        <v>3</v>
      </c>
      <c r="H58" s="16" t="s">
        <v>364</v>
      </c>
      <c r="I58" s="34">
        <v>23.84</v>
      </c>
      <c r="J58" s="19">
        <f t="shared" si="6"/>
        <v>28.7272</v>
      </c>
      <c r="K58" s="228">
        <f t="shared" si="7"/>
        <v>86.181600000000003</v>
      </c>
      <c r="L58" s="242">
        <f>K58/K49</f>
        <v>1.8372176366419701E-2</v>
      </c>
      <c r="M58" s="258"/>
      <c r="N58" s="242"/>
      <c r="O58" s="474"/>
      <c r="P58" s="474"/>
      <c r="Q58" s="474"/>
      <c r="R58" s="474"/>
      <c r="S58" s="474"/>
      <c r="T58" s="474"/>
      <c r="U58" s="474"/>
      <c r="V58" s="474"/>
      <c r="W58" s="474"/>
      <c r="X58" s="474"/>
      <c r="Y58" s="474"/>
      <c r="Z58" s="474"/>
      <c r="AA58" s="474"/>
      <c r="AB58" s="474"/>
      <c r="AC58" s="474"/>
      <c r="AD58" s="474"/>
      <c r="AE58" s="474"/>
      <c r="AF58" s="474"/>
      <c r="AG58" s="474"/>
      <c r="AH58" s="474"/>
      <c r="AI58" s="474"/>
      <c r="AJ58" s="474"/>
      <c r="AK58" s="474"/>
      <c r="AL58" s="474"/>
      <c r="AM58" s="474"/>
      <c r="AN58" s="474"/>
      <c r="AO58" s="474"/>
      <c r="AP58" s="474"/>
      <c r="AQ58" s="474"/>
      <c r="AR58" s="474"/>
      <c r="AS58" s="474"/>
      <c r="AT58" s="474"/>
      <c r="AU58" s="474"/>
      <c r="AV58" s="474"/>
      <c r="AW58" s="474"/>
      <c r="AX58" s="474"/>
      <c r="AY58" s="474"/>
      <c r="AZ58" s="474"/>
      <c r="BA58" s="474"/>
      <c r="BB58" s="474"/>
      <c r="BC58" s="474"/>
      <c r="BD58" s="474"/>
      <c r="BE58" s="474"/>
      <c r="BF58" s="474"/>
    </row>
    <row r="59" spans="1:58" ht="25.2" customHeight="1" thickBot="1">
      <c r="B59" s="14"/>
      <c r="C59" s="14"/>
      <c r="D59" s="185"/>
      <c r="E59" s="14"/>
      <c r="F59" s="15"/>
      <c r="G59" s="175"/>
      <c r="H59" s="14"/>
      <c r="I59" s="176"/>
      <c r="J59" s="229"/>
      <c r="K59" s="230"/>
    </row>
    <row r="60" spans="1:58" ht="25.2" customHeight="1" thickBot="1">
      <c r="B60" s="535" t="s">
        <v>448</v>
      </c>
      <c r="C60" s="536"/>
      <c r="D60" s="536"/>
      <c r="E60" s="536"/>
      <c r="F60" s="536"/>
      <c r="G60" s="536"/>
      <c r="H60" s="536"/>
      <c r="I60" s="536"/>
      <c r="J60" s="536"/>
      <c r="K60" s="232">
        <f>SUM(K32,K42,K49)</f>
        <v>52730.599849500002</v>
      </c>
      <c r="L60" s="243"/>
      <c r="M60" s="260">
        <f>SUM(M49,M42,M32)</f>
        <v>1</v>
      </c>
      <c r="N60" s="311">
        <f>SUM(N32:N59)</f>
        <v>8.1133931550820826E-2</v>
      </c>
    </row>
    <row r="61" spans="1:58" ht="25.2" customHeight="1" thickBot="1">
      <c r="B61" s="2"/>
      <c r="C61" s="28"/>
      <c r="D61" s="168"/>
      <c r="E61" s="28"/>
      <c r="F61" s="190"/>
      <c r="G61" s="209"/>
      <c r="H61" s="2"/>
      <c r="I61" s="29"/>
      <c r="J61" s="29"/>
      <c r="K61" s="231"/>
      <c r="L61" s="238"/>
      <c r="M61" s="254"/>
      <c r="N61" s="238"/>
    </row>
    <row r="62" spans="1:58" ht="25.2" customHeight="1" thickBot="1">
      <c r="B62" s="192">
        <v>3</v>
      </c>
      <c r="C62" s="529" t="s">
        <v>390</v>
      </c>
      <c r="D62" s="529"/>
      <c r="E62" s="529"/>
      <c r="F62" s="529"/>
      <c r="G62" s="529"/>
      <c r="H62" s="529"/>
      <c r="I62" s="529"/>
      <c r="J62" s="529"/>
      <c r="K62" s="529"/>
      <c r="L62" s="529"/>
      <c r="M62" s="529"/>
      <c r="N62" s="534"/>
    </row>
    <row r="63" spans="1:58" customFormat="1" ht="25.2" customHeight="1">
      <c r="B63" s="494"/>
      <c r="C63" s="495"/>
      <c r="D63" s="496"/>
      <c r="E63" s="495"/>
      <c r="F63" s="497"/>
      <c r="G63" s="498"/>
      <c r="H63" s="495"/>
      <c r="I63" s="495"/>
      <c r="J63" s="495"/>
      <c r="K63" s="495"/>
      <c r="L63" s="499"/>
      <c r="M63" s="500"/>
      <c r="N63" s="501"/>
    </row>
    <row r="64" spans="1:58" ht="25.2" customHeight="1">
      <c r="B64" s="26" t="s">
        <v>462</v>
      </c>
      <c r="C64" s="533" t="s">
        <v>19</v>
      </c>
      <c r="D64" s="533"/>
      <c r="E64" s="533"/>
      <c r="F64" s="533"/>
      <c r="G64" s="533"/>
      <c r="H64" s="533"/>
      <c r="I64" s="533"/>
      <c r="J64" s="533"/>
      <c r="K64" s="226">
        <f>SUM(K65:K69)</f>
        <v>29101.292249999999</v>
      </c>
      <c r="L64" s="240">
        <f>SUM(L65:L69)</f>
        <v>1</v>
      </c>
      <c r="M64" s="256">
        <f>K64/K96</f>
        <v>0.25642625807983149</v>
      </c>
      <c r="N64" s="240">
        <f>K64/K398</f>
        <v>4.4776700060132554E-2</v>
      </c>
    </row>
    <row r="65" spans="1:58" s="475" customFormat="1" ht="50.4" customHeight="1">
      <c r="A65" s="473"/>
      <c r="B65" s="16" t="s">
        <v>666</v>
      </c>
      <c r="C65" s="22" t="s">
        <v>10</v>
      </c>
      <c r="D65" s="45" t="s">
        <v>887</v>
      </c>
      <c r="E65" s="22" t="s">
        <v>10</v>
      </c>
      <c r="F65" s="21" t="s">
        <v>406</v>
      </c>
      <c r="G65" s="174">
        <v>108</v>
      </c>
      <c r="H65" s="16" t="s">
        <v>15</v>
      </c>
      <c r="I65" s="19">
        <v>60.22</v>
      </c>
      <c r="J65" s="19">
        <f t="shared" ref="J65:J69" si="8">I65*$I$3+I65</f>
        <v>72.565100000000001</v>
      </c>
      <c r="K65" s="228">
        <f t="shared" ref="K65:K69" si="9">G65*J65</f>
        <v>7837.0308000000005</v>
      </c>
      <c r="L65" s="242">
        <f>K65/K64</f>
        <v>0.26930181425190836</v>
      </c>
      <c r="M65" s="258"/>
      <c r="N65" s="242"/>
      <c r="O65" s="474"/>
      <c r="P65" s="474"/>
      <c r="Q65" s="474"/>
      <c r="R65" s="474"/>
      <c r="S65" s="474"/>
      <c r="T65" s="474"/>
      <c r="U65" s="474"/>
      <c r="V65" s="474"/>
      <c r="W65" s="474"/>
      <c r="X65" s="474"/>
      <c r="Y65" s="474"/>
      <c r="Z65" s="474"/>
      <c r="AA65" s="474"/>
      <c r="AB65" s="474"/>
      <c r="AC65" s="474"/>
      <c r="AD65" s="474"/>
      <c r="AE65" s="474"/>
      <c r="AF65" s="474"/>
      <c r="AG65" s="474"/>
      <c r="AH65" s="474"/>
      <c r="AI65" s="474"/>
      <c r="AJ65" s="474"/>
      <c r="AK65" s="474"/>
      <c r="AL65" s="474"/>
      <c r="AM65" s="474"/>
      <c r="AN65" s="474"/>
      <c r="AO65" s="474"/>
      <c r="AP65" s="474"/>
      <c r="AQ65" s="474"/>
      <c r="AR65" s="474"/>
      <c r="AS65" s="474"/>
      <c r="AT65" s="474"/>
      <c r="AU65" s="474"/>
      <c r="AV65" s="474"/>
      <c r="AW65" s="474"/>
      <c r="AX65" s="474"/>
      <c r="AY65" s="474"/>
      <c r="AZ65" s="474"/>
      <c r="BA65" s="474"/>
      <c r="BB65" s="474"/>
      <c r="BC65" s="474"/>
      <c r="BD65" s="474"/>
      <c r="BE65" s="474"/>
      <c r="BF65" s="474"/>
    </row>
    <row r="66" spans="1:58" s="475" customFormat="1" ht="31.95" customHeight="1">
      <c r="A66" s="473"/>
      <c r="B66" s="16" t="s">
        <v>667</v>
      </c>
      <c r="C66" s="22" t="s">
        <v>10</v>
      </c>
      <c r="D66" s="45">
        <v>92778</v>
      </c>
      <c r="E66" s="22"/>
      <c r="F66" s="21" t="s">
        <v>408</v>
      </c>
      <c r="G66" s="173">
        <v>323</v>
      </c>
      <c r="H66" s="16" t="s">
        <v>17</v>
      </c>
      <c r="I66" s="19">
        <v>8.73</v>
      </c>
      <c r="J66" s="19">
        <f t="shared" si="8"/>
        <v>10.51965</v>
      </c>
      <c r="K66" s="228">
        <f t="shared" si="9"/>
        <v>3397.8469500000001</v>
      </c>
      <c r="L66" s="242">
        <f>K66/K64</f>
        <v>0.11675931504381906</v>
      </c>
      <c r="M66" s="258"/>
      <c r="N66" s="242"/>
      <c r="O66" s="474"/>
      <c r="P66" s="474"/>
      <c r="Q66" s="474"/>
      <c r="R66" s="474"/>
      <c r="S66" s="474"/>
      <c r="T66" s="474"/>
      <c r="U66" s="474"/>
      <c r="V66" s="474"/>
      <c r="W66" s="474"/>
      <c r="X66" s="474"/>
      <c r="Y66" s="474"/>
      <c r="Z66" s="474"/>
      <c r="AA66" s="474"/>
      <c r="AB66" s="474"/>
      <c r="AC66" s="474"/>
      <c r="AD66" s="474"/>
      <c r="AE66" s="474"/>
      <c r="AF66" s="474"/>
      <c r="AG66" s="474"/>
      <c r="AH66" s="474"/>
      <c r="AI66" s="474"/>
      <c r="AJ66" s="474"/>
      <c r="AK66" s="474"/>
      <c r="AL66" s="474"/>
      <c r="AM66" s="474"/>
      <c r="AN66" s="474"/>
      <c r="AO66" s="474"/>
      <c r="AP66" s="474"/>
      <c r="AQ66" s="474"/>
      <c r="AR66" s="474"/>
      <c r="AS66" s="474"/>
      <c r="AT66" s="474"/>
      <c r="AU66" s="474"/>
      <c r="AV66" s="474"/>
      <c r="AW66" s="474"/>
      <c r="AX66" s="474"/>
      <c r="AY66" s="474"/>
      <c r="AZ66" s="474"/>
      <c r="BA66" s="474"/>
      <c r="BB66" s="474"/>
      <c r="BC66" s="474"/>
      <c r="BD66" s="474"/>
      <c r="BE66" s="474"/>
      <c r="BF66" s="474"/>
    </row>
    <row r="67" spans="1:58" s="475" customFormat="1" ht="31.95" customHeight="1">
      <c r="A67" s="473"/>
      <c r="B67" s="16" t="s">
        <v>668</v>
      </c>
      <c r="C67" s="22" t="s">
        <v>10</v>
      </c>
      <c r="D67" s="45">
        <v>92779</v>
      </c>
      <c r="E67" s="22"/>
      <c r="F67" s="21" t="s">
        <v>407</v>
      </c>
      <c r="G67" s="173">
        <v>688</v>
      </c>
      <c r="H67" s="16" t="s">
        <v>17</v>
      </c>
      <c r="I67" s="19">
        <v>7.14</v>
      </c>
      <c r="J67" s="19">
        <f t="shared" si="8"/>
        <v>8.6036999999999999</v>
      </c>
      <c r="K67" s="228">
        <f t="shared" si="9"/>
        <v>5919.3455999999996</v>
      </c>
      <c r="L67" s="242">
        <f>K67/K64</f>
        <v>0.20340490549865531</v>
      </c>
      <c r="M67" s="258"/>
      <c r="N67" s="242"/>
      <c r="O67" s="474"/>
      <c r="P67" s="474"/>
      <c r="Q67" s="474"/>
      <c r="R67" s="474"/>
      <c r="S67" s="474"/>
      <c r="T67" s="474"/>
      <c r="U67" s="474"/>
      <c r="V67" s="474"/>
      <c r="W67" s="474"/>
      <c r="X67" s="474"/>
      <c r="Y67" s="474"/>
      <c r="Z67" s="474"/>
      <c r="AA67" s="474"/>
      <c r="AB67" s="474"/>
      <c r="AC67" s="474"/>
      <c r="AD67" s="474"/>
      <c r="AE67" s="474"/>
      <c r="AF67" s="474"/>
      <c r="AG67" s="474"/>
      <c r="AH67" s="474"/>
      <c r="AI67" s="474"/>
      <c r="AJ67" s="474"/>
      <c r="AK67" s="474"/>
      <c r="AL67" s="474"/>
      <c r="AM67" s="474"/>
      <c r="AN67" s="474"/>
      <c r="AO67" s="474"/>
      <c r="AP67" s="474"/>
      <c r="AQ67" s="474"/>
      <c r="AR67" s="474"/>
      <c r="AS67" s="474"/>
      <c r="AT67" s="474"/>
      <c r="AU67" s="474"/>
      <c r="AV67" s="474"/>
      <c r="AW67" s="474"/>
      <c r="AX67" s="474"/>
      <c r="AY67" s="474"/>
      <c r="AZ67" s="474"/>
      <c r="BA67" s="474"/>
      <c r="BB67" s="474"/>
      <c r="BC67" s="474"/>
      <c r="BD67" s="474"/>
      <c r="BE67" s="474"/>
      <c r="BF67" s="474"/>
    </row>
    <row r="68" spans="1:58" s="475" customFormat="1" ht="31.95" customHeight="1">
      <c r="A68" s="473"/>
      <c r="B68" s="16" t="s">
        <v>669</v>
      </c>
      <c r="C68" s="22" t="s">
        <v>10</v>
      </c>
      <c r="D68" s="45">
        <v>92775</v>
      </c>
      <c r="E68" s="22" t="s">
        <v>10</v>
      </c>
      <c r="F68" s="21" t="s">
        <v>409</v>
      </c>
      <c r="G68" s="173">
        <v>198</v>
      </c>
      <c r="H68" s="16" t="s">
        <v>17</v>
      </c>
      <c r="I68" s="19">
        <v>13.32</v>
      </c>
      <c r="J68" s="19">
        <f t="shared" si="8"/>
        <v>16.050599999999999</v>
      </c>
      <c r="K68" s="228">
        <f t="shared" si="9"/>
        <v>3178.0187999999998</v>
      </c>
      <c r="L68" s="242">
        <f>K68/K64</f>
        <v>0.10920541853257393</v>
      </c>
      <c r="M68" s="258"/>
      <c r="N68" s="242"/>
      <c r="O68" s="474"/>
      <c r="P68" s="474"/>
      <c r="Q68" s="474"/>
      <c r="R68" s="474"/>
      <c r="S68" s="474"/>
      <c r="T68" s="474"/>
      <c r="U68" s="474"/>
      <c r="V68" s="474"/>
      <c r="W68" s="474"/>
      <c r="X68" s="474"/>
      <c r="Y68" s="474"/>
      <c r="Z68" s="474"/>
      <c r="AA68" s="474"/>
      <c r="AB68" s="474"/>
      <c r="AC68" s="474"/>
      <c r="AD68" s="474"/>
      <c r="AE68" s="474"/>
      <c r="AF68" s="474"/>
      <c r="AG68" s="474"/>
      <c r="AH68" s="474"/>
      <c r="AI68" s="474"/>
      <c r="AJ68" s="474"/>
      <c r="AK68" s="474"/>
      <c r="AL68" s="474"/>
      <c r="AM68" s="474"/>
      <c r="AN68" s="474"/>
      <c r="AO68" s="474"/>
      <c r="AP68" s="474"/>
      <c r="AQ68" s="474"/>
      <c r="AR68" s="474"/>
      <c r="AS68" s="474"/>
      <c r="AT68" s="474"/>
      <c r="AU68" s="474"/>
      <c r="AV68" s="474"/>
      <c r="AW68" s="474"/>
      <c r="AX68" s="474"/>
      <c r="AY68" s="474"/>
      <c r="AZ68" s="474"/>
      <c r="BA68" s="474"/>
      <c r="BB68" s="474"/>
      <c r="BC68" s="474"/>
      <c r="BD68" s="474"/>
      <c r="BE68" s="474"/>
      <c r="BF68" s="474"/>
    </row>
    <row r="69" spans="1:58" s="475" customFormat="1" ht="31.95" customHeight="1">
      <c r="A69" s="473"/>
      <c r="B69" s="16" t="s">
        <v>670</v>
      </c>
      <c r="C69" s="22" t="s">
        <v>10</v>
      </c>
      <c r="D69" s="45">
        <v>92720</v>
      </c>
      <c r="E69" s="22" t="s">
        <v>10</v>
      </c>
      <c r="F69" s="33" t="s">
        <v>405</v>
      </c>
      <c r="G69" s="173">
        <v>18</v>
      </c>
      <c r="H69" s="16" t="s">
        <v>14</v>
      </c>
      <c r="I69" s="19">
        <v>404.29</v>
      </c>
      <c r="J69" s="19">
        <f t="shared" si="8"/>
        <v>487.16945000000004</v>
      </c>
      <c r="K69" s="228">
        <f t="shared" si="9"/>
        <v>8769.0501000000004</v>
      </c>
      <c r="L69" s="242">
        <f>K69/K64</f>
        <v>0.30132854667304337</v>
      </c>
      <c r="M69" s="258"/>
      <c r="N69" s="242"/>
      <c r="O69" s="474"/>
      <c r="P69" s="474"/>
      <c r="Q69" s="474"/>
      <c r="R69" s="474"/>
      <c r="S69" s="474"/>
      <c r="T69" s="474"/>
      <c r="U69" s="474"/>
      <c r="V69" s="474"/>
      <c r="W69" s="474"/>
      <c r="X69" s="474"/>
      <c r="Y69" s="474"/>
      <c r="Z69" s="474"/>
      <c r="AA69" s="474"/>
      <c r="AB69" s="474"/>
      <c r="AC69" s="474"/>
      <c r="AD69" s="474"/>
      <c r="AE69" s="474"/>
      <c r="AF69" s="474"/>
      <c r="AG69" s="474"/>
      <c r="AH69" s="474"/>
      <c r="AI69" s="474"/>
      <c r="AJ69" s="474"/>
      <c r="AK69" s="474"/>
      <c r="AL69" s="474"/>
      <c r="AM69" s="474"/>
      <c r="AN69" s="474"/>
      <c r="AO69" s="474"/>
      <c r="AP69" s="474"/>
      <c r="AQ69" s="474"/>
      <c r="AR69" s="474"/>
      <c r="AS69" s="474"/>
      <c r="AT69" s="474"/>
      <c r="AU69" s="474"/>
      <c r="AV69" s="474"/>
      <c r="AW69" s="474"/>
      <c r="AX69" s="474"/>
      <c r="AY69" s="474"/>
      <c r="AZ69" s="474"/>
      <c r="BA69" s="474"/>
      <c r="BB69" s="474"/>
      <c r="BC69" s="474"/>
      <c r="BD69" s="474"/>
      <c r="BE69" s="474"/>
      <c r="BF69" s="474"/>
    </row>
    <row r="70" spans="1:58" customFormat="1" ht="25.2" customHeight="1">
      <c r="B70" s="494"/>
      <c r="C70" s="495"/>
      <c r="D70" s="496"/>
      <c r="E70" s="495"/>
      <c r="F70" s="497"/>
      <c r="G70" s="498"/>
      <c r="H70" s="495"/>
      <c r="I70" s="495"/>
      <c r="J70" s="495"/>
      <c r="K70" s="495"/>
      <c r="L70" s="499"/>
      <c r="M70" s="500"/>
      <c r="N70" s="501"/>
    </row>
    <row r="71" spans="1:58" ht="25.2" customHeight="1">
      <c r="B71" s="26" t="s">
        <v>463</v>
      </c>
      <c r="C71" s="537" t="s">
        <v>20</v>
      </c>
      <c r="D71" s="538"/>
      <c r="E71" s="538"/>
      <c r="F71" s="538"/>
      <c r="G71" s="538"/>
      <c r="H71" s="538"/>
      <c r="I71" s="538"/>
      <c r="J71" s="539"/>
      <c r="K71" s="226">
        <f>SUM(K72:K76)</f>
        <v>45351.560749999997</v>
      </c>
      <c r="L71" s="240">
        <f>SUM(L72:L76)</f>
        <v>1</v>
      </c>
      <c r="M71" s="256">
        <f>K71/K96</f>
        <v>0.39961562260874023</v>
      </c>
      <c r="N71" s="240">
        <f>K71/K398</f>
        <v>6.9780173867077327E-2</v>
      </c>
    </row>
    <row r="72" spans="1:58" s="475" customFormat="1" ht="34.950000000000003" customHeight="1">
      <c r="A72" s="473"/>
      <c r="B72" s="16" t="s">
        <v>671</v>
      </c>
      <c r="C72" s="22" t="s">
        <v>10</v>
      </c>
      <c r="D72" s="45" t="s">
        <v>895</v>
      </c>
      <c r="E72" s="22"/>
      <c r="F72" s="21" t="s">
        <v>894</v>
      </c>
      <c r="G72" s="173">
        <v>112</v>
      </c>
      <c r="H72" s="16" t="s">
        <v>15</v>
      </c>
      <c r="I72" s="19">
        <v>133.96</v>
      </c>
      <c r="J72" s="19">
        <f t="shared" ref="J72:J76" si="10">I72*$I$3+I72</f>
        <v>161.42180000000002</v>
      </c>
      <c r="K72" s="228">
        <f t="shared" ref="K72:K76" si="11">G72*J72</f>
        <v>18079.241600000001</v>
      </c>
      <c r="L72" s="242">
        <f>K72/K71</f>
        <v>0.39864651405629964</v>
      </c>
      <c r="M72" s="258"/>
      <c r="N72" s="242"/>
      <c r="O72" s="474"/>
      <c r="P72" s="474"/>
      <c r="Q72" s="474"/>
      <c r="R72" s="474"/>
      <c r="S72" s="474"/>
      <c r="T72" s="474"/>
      <c r="U72" s="474"/>
      <c r="V72" s="474"/>
      <c r="W72" s="474"/>
      <c r="X72" s="474"/>
      <c r="Y72" s="474"/>
      <c r="Z72" s="474"/>
      <c r="AA72" s="474"/>
      <c r="AB72" s="474"/>
      <c r="AC72" s="474"/>
      <c r="AD72" s="474"/>
      <c r="AE72" s="474"/>
      <c r="AF72" s="474"/>
      <c r="AG72" s="474"/>
      <c r="AH72" s="474"/>
      <c r="AI72" s="474"/>
      <c r="AJ72" s="474"/>
      <c r="AK72" s="474"/>
      <c r="AL72" s="474"/>
      <c r="AM72" s="474"/>
      <c r="AN72" s="474"/>
      <c r="AO72" s="474"/>
      <c r="AP72" s="474"/>
      <c r="AQ72" s="474"/>
      <c r="AR72" s="474"/>
      <c r="AS72" s="474"/>
      <c r="AT72" s="474"/>
      <c r="AU72" s="474"/>
      <c r="AV72" s="474"/>
      <c r="AW72" s="474"/>
      <c r="AX72" s="474"/>
      <c r="AY72" s="474"/>
      <c r="AZ72" s="474"/>
      <c r="BA72" s="474"/>
      <c r="BB72" s="474"/>
      <c r="BC72" s="474"/>
      <c r="BD72" s="474"/>
      <c r="BE72" s="474"/>
      <c r="BF72" s="474"/>
    </row>
    <row r="73" spans="1:58" s="475" customFormat="1" ht="34.950000000000003" customHeight="1">
      <c r="A73" s="473"/>
      <c r="B73" s="16" t="s">
        <v>672</v>
      </c>
      <c r="C73" s="22" t="s">
        <v>10</v>
      </c>
      <c r="D73" s="45">
        <v>92778</v>
      </c>
      <c r="E73" s="22"/>
      <c r="F73" s="21" t="s">
        <v>408</v>
      </c>
      <c r="G73" s="173">
        <v>480</v>
      </c>
      <c r="H73" s="16" t="s">
        <v>17</v>
      </c>
      <c r="I73" s="19">
        <v>8.73</v>
      </c>
      <c r="J73" s="19">
        <f t="shared" si="10"/>
        <v>10.51965</v>
      </c>
      <c r="K73" s="228">
        <f t="shared" si="11"/>
        <v>5049.4319999999998</v>
      </c>
      <c r="L73" s="242">
        <f>K73/K71</f>
        <v>0.11133976243584957</v>
      </c>
      <c r="M73" s="258"/>
      <c r="N73" s="242"/>
      <c r="O73" s="474"/>
      <c r="P73" s="474"/>
      <c r="Q73" s="474"/>
      <c r="R73" s="474"/>
      <c r="S73" s="474"/>
      <c r="T73" s="474"/>
      <c r="U73" s="474"/>
      <c r="V73" s="474"/>
      <c r="W73" s="474"/>
      <c r="X73" s="474"/>
      <c r="Y73" s="474"/>
      <c r="Z73" s="474"/>
      <c r="AA73" s="474"/>
      <c r="AB73" s="474"/>
      <c r="AC73" s="474"/>
      <c r="AD73" s="474"/>
      <c r="AE73" s="474"/>
      <c r="AF73" s="474"/>
      <c r="AG73" s="474"/>
      <c r="AH73" s="474"/>
      <c r="AI73" s="474"/>
      <c r="AJ73" s="474"/>
      <c r="AK73" s="474"/>
      <c r="AL73" s="474"/>
      <c r="AM73" s="474"/>
      <c r="AN73" s="474"/>
      <c r="AO73" s="474"/>
      <c r="AP73" s="474"/>
      <c r="AQ73" s="474"/>
      <c r="AR73" s="474"/>
      <c r="AS73" s="474"/>
      <c r="AT73" s="474"/>
      <c r="AU73" s="474"/>
      <c r="AV73" s="474"/>
      <c r="AW73" s="474"/>
      <c r="AX73" s="474"/>
      <c r="AY73" s="474"/>
      <c r="AZ73" s="474"/>
      <c r="BA73" s="474"/>
      <c r="BB73" s="474"/>
      <c r="BC73" s="474"/>
      <c r="BD73" s="474"/>
      <c r="BE73" s="474"/>
      <c r="BF73" s="474"/>
    </row>
    <row r="74" spans="1:58" s="475" customFormat="1" ht="34.950000000000003" customHeight="1">
      <c r="A74" s="473"/>
      <c r="B74" s="16" t="s">
        <v>673</v>
      </c>
      <c r="C74" s="22" t="s">
        <v>10</v>
      </c>
      <c r="D74" s="45">
        <v>92779</v>
      </c>
      <c r="E74" s="22"/>
      <c r="F74" s="21" t="s">
        <v>407</v>
      </c>
      <c r="G74" s="173">
        <v>432</v>
      </c>
      <c r="H74" s="16" t="s">
        <v>17</v>
      </c>
      <c r="I74" s="19">
        <v>7.14</v>
      </c>
      <c r="J74" s="19">
        <f t="shared" si="10"/>
        <v>8.6036999999999999</v>
      </c>
      <c r="K74" s="228">
        <f t="shared" si="11"/>
        <v>3716.7984000000001</v>
      </c>
      <c r="L74" s="242">
        <f>K74/K71</f>
        <v>8.1955247813604748E-2</v>
      </c>
      <c r="M74" s="258"/>
      <c r="N74" s="242"/>
      <c r="O74" s="474"/>
      <c r="P74" s="474"/>
      <c r="Q74" s="474"/>
      <c r="R74" s="474"/>
      <c r="S74" s="474"/>
      <c r="T74" s="474"/>
      <c r="U74" s="474"/>
      <c r="V74" s="474"/>
      <c r="W74" s="474"/>
      <c r="X74" s="474"/>
      <c r="Y74" s="474"/>
      <c r="Z74" s="474"/>
      <c r="AA74" s="474"/>
      <c r="AB74" s="474"/>
      <c r="AC74" s="474"/>
      <c r="AD74" s="474"/>
      <c r="AE74" s="474"/>
      <c r="AF74" s="474"/>
      <c r="AG74" s="474"/>
      <c r="AH74" s="474"/>
      <c r="AI74" s="474"/>
      <c r="AJ74" s="474"/>
      <c r="AK74" s="474"/>
      <c r="AL74" s="474"/>
      <c r="AM74" s="474"/>
      <c r="AN74" s="474"/>
      <c r="AO74" s="474"/>
      <c r="AP74" s="474"/>
      <c r="AQ74" s="474"/>
      <c r="AR74" s="474"/>
      <c r="AS74" s="474"/>
      <c r="AT74" s="474"/>
      <c r="AU74" s="474"/>
      <c r="AV74" s="474"/>
      <c r="AW74" s="474"/>
      <c r="AX74" s="474"/>
      <c r="AY74" s="474"/>
      <c r="AZ74" s="474"/>
      <c r="BA74" s="474"/>
      <c r="BB74" s="474"/>
      <c r="BC74" s="474"/>
      <c r="BD74" s="474"/>
      <c r="BE74" s="474"/>
      <c r="BF74" s="474"/>
    </row>
    <row r="75" spans="1:58" s="475" customFormat="1" ht="34.950000000000003" customHeight="1">
      <c r="A75" s="473"/>
      <c r="B75" s="16" t="s">
        <v>674</v>
      </c>
      <c r="C75" s="22" t="s">
        <v>10</v>
      </c>
      <c r="D75" s="45">
        <v>92775</v>
      </c>
      <c r="E75" s="22" t="s">
        <v>10</v>
      </c>
      <c r="F75" s="21" t="s">
        <v>409</v>
      </c>
      <c r="G75" s="173">
        <v>715</v>
      </c>
      <c r="H75" s="16" t="s">
        <v>17</v>
      </c>
      <c r="I75" s="19">
        <v>13.32</v>
      </c>
      <c r="J75" s="19">
        <f t="shared" si="10"/>
        <v>16.050599999999999</v>
      </c>
      <c r="K75" s="228">
        <f t="shared" si="11"/>
        <v>11476.179</v>
      </c>
      <c r="L75" s="242">
        <f>K75/K71</f>
        <v>0.25304926247769766</v>
      </c>
      <c r="M75" s="258"/>
      <c r="N75" s="242"/>
      <c r="O75" s="474"/>
      <c r="P75" s="474"/>
      <c r="Q75" s="474"/>
      <c r="R75" s="474"/>
      <c r="S75" s="474"/>
      <c r="T75" s="474"/>
      <c r="U75" s="474"/>
      <c r="V75" s="474"/>
      <c r="W75" s="474"/>
      <c r="X75" s="474"/>
      <c r="Y75" s="474"/>
      <c r="Z75" s="474"/>
      <c r="AA75" s="474"/>
      <c r="AB75" s="474"/>
      <c r="AC75" s="474"/>
      <c r="AD75" s="474"/>
      <c r="AE75" s="474"/>
      <c r="AF75" s="474"/>
      <c r="AG75" s="474"/>
      <c r="AH75" s="474"/>
      <c r="AI75" s="474"/>
      <c r="AJ75" s="474"/>
      <c r="AK75" s="474"/>
      <c r="AL75" s="474"/>
      <c r="AM75" s="474"/>
      <c r="AN75" s="474"/>
      <c r="AO75" s="474"/>
      <c r="AP75" s="474"/>
      <c r="AQ75" s="474"/>
      <c r="AR75" s="474"/>
      <c r="AS75" s="474"/>
      <c r="AT75" s="474"/>
      <c r="AU75" s="474"/>
      <c r="AV75" s="474"/>
      <c r="AW75" s="474"/>
      <c r="AX75" s="474"/>
      <c r="AY75" s="474"/>
      <c r="AZ75" s="474"/>
      <c r="BA75" s="474"/>
      <c r="BB75" s="474"/>
      <c r="BC75" s="474"/>
      <c r="BD75" s="474"/>
      <c r="BE75" s="474"/>
      <c r="BF75" s="474"/>
    </row>
    <row r="76" spans="1:58" s="475" customFormat="1" ht="34.950000000000003" customHeight="1">
      <c r="A76" s="473"/>
      <c r="B76" s="16" t="s">
        <v>675</v>
      </c>
      <c r="C76" s="22" t="s">
        <v>10</v>
      </c>
      <c r="D76" s="45">
        <v>94967</v>
      </c>
      <c r="E76" s="22"/>
      <c r="F76" s="21" t="s">
        <v>419</v>
      </c>
      <c r="G76" s="173">
        <v>15</v>
      </c>
      <c r="H76" s="16" t="s">
        <v>14</v>
      </c>
      <c r="I76" s="19">
        <v>388.93</v>
      </c>
      <c r="J76" s="19">
        <f t="shared" si="10"/>
        <v>468.66065000000003</v>
      </c>
      <c r="K76" s="228">
        <f t="shared" si="11"/>
        <v>7029.9097500000007</v>
      </c>
      <c r="L76" s="242">
        <f>K76/K71</f>
        <v>0.15500921321654848</v>
      </c>
      <c r="M76" s="258"/>
      <c r="N76" s="242"/>
      <c r="O76" s="474"/>
      <c r="P76" s="474"/>
      <c r="Q76" s="474"/>
      <c r="R76" s="474"/>
      <c r="S76" s="474"/>
      <c r="T76" s="474"/>
      <c r="U76" s="474"/>
      <c r="V76" s="474"/>
      <c r="W76" s="474"/>
      <c r="X76" s="474"/>
      <c r="Y76" s="474"/>
      <c r="Z76" s="474"/>
      <c r="AA76" s="474"/>
      <c r="AB76" s="474"/>
      <c r="AC76" s="474"/>
      <c r="AD76" s="474"/>
      <c r="AE76" s="474"/>
      <c r="AF76" s="474"/>
      <c r="AG76" s="474"/>
      <c r="AH76" s="474"/>
      <c r="AI76" s="474"/>
      <c r="AJ76" s="474"/>
      <c r="AK76" s="474"/>
      <c r="AL76" s="474"/>
      <c r="AM76" s="474"/>
      <c r="AN76" s="474"/>
      <c r="AO76" s="474"/>
      <c r="AP76" s="474"/>
      <c r="AQ76" s="474"/>
      <c r="AR76" s="474"/>
      <c r="AS76" s="474"/>
      <c r="AT76" s="474"/>
      <c r="AU76" s="474"/>
      <c r="AV76" s="474"/>
      <c r="AW76" s="474"/>
      <c r="AX76" s="474"/>
      <c r="AY76" s="474"/>
      <c r="AZ76" s="474"/>
      <c r="BA76" s="474"/>
      <c r="BB76" s="474"/>
      <c r="BC76" s="474"/>
      <c r="BD76" s="474"/>
      <c r="BE76" s="474"/>
      <c r="BF76" s="474"/>
    </row>
    <row r="77" spans="1:58" customFormat="1" ht="25.2" customHeight="1">
      <c r="B77" s="494"/>
      <c r="C77" s="495"/>
      <c r="D77" s="496"/>
      <c r="E77" s="495"/>
      <c r="F77" s="497"/>
      <c r="G77" s="498"/>
      <c r="H77" s="495"/>
      <c r="I77" s="495"/>
      <c r="J77" s="495"/>
      <c r="K77" s="495"/>
      <c r="L77" s="499"/>
      <c r="M77" s="500"/>
      <c r="N77" s="501"/>
    </row>
    <row r="78" spans="1:58" ht="25.2" customHeight="1">
      <c r="B78" s="26" t="s">
        <v>464</v>
      </c>
      <c r="C78" s="537" t="s">
        <v>410</v>
      </c>
      <c r="D78" s="538"/>
      <c r="E78" s="538"/>
      <c r="F78" s="538"/>
      <c r="G78" s="538"/>
      <c r="H78" s="538"/>
      <c r="I78" s="538"/>
      <c r="J78" s="539"/>
      <c r="K78" s="226">
        <f>SUM(K79:K81)</f>
        <v>2995.7836374999997</v>
      </c>
      <c r="L78" s="240">
        <f>SUM(L79:L81)</f>
        <v>1.0000000000000002</v>
      </c>
      <c r="M78" s="256">
        <f>K78/K96</f>
        <v>2.6397370315433721E-2</v>
      </c>
      <c r="N78" s="240">
        <f>K78/K398</f>
        <v>4.6094621582101862E-3</v>
      </c>
    </row>
    <row r="79" spans="1:58" s="475" customFormat="1" ht="37.950000000000003" customHeight="1">
      <c r="A79" s="473"/>
      <c r="B79" s="16" t="s">
        <v>676</v>
      </c>
      <c r="C79" s="22" t="s">
        <v>10</v>
      </c>
      <c r="D79" s="45" t="s">
        <v>896</v>
      </c>
      <c r="E79" s="22" t="s">
        <v>10</v>
      </c>
      <c r="F79" s="21" t="s">
        <v>459</v>
      </c>
      <c r="G79" s="173">
        <v>10</v>
      </c>
      <c r="H79" s="16" t="s">
        <v>13</v>
      </c>
      <c r="I79" s="19">
        <v>119.86</v>
      </c>
      <c r="J79" s="19">
        <f>I79*$I$3+I79</f>
        <v>144.43129999999999</v>
      </c>
      <c r="K79" s="228">
        <f>G79*J79</f>
        <v>1444.3129999999999</v>
      </c>
      <c r="L79" s="242">
        <f>K79/K78</f>
        <v>0.48211525756422391</v>
      </c>
      <c r="M79" s="258"/>
      <c r="N79" s="242"/>
      <c r="O79" s="474"/>
      <c r="P79" s="474"/>
      <c r="Q79" s="474"/>
      <c r="R79" s="474"/>
      <c r="S79" s="474"/>
      <c r="T79" s="474"/>
      <c r="U79" s="474"/>
      <c r="V79" s="474"/>
      <c r="W79" s="474"/>
      <c r="X79" s="474"/>
      <c r="Y79" s="474"/>
      <c r="Z79" s="474"/>
      <c r="AA79" s="474"/>
      <c r="AB79" s="474"/>
      <c r="AC79" s="474"/>
      <c r="AD79" s="474"/>
      <c r="AE79" s="474"/>
      <c r="AF79" s="474"/>
      <c r="AG79" s="474"/>
      <c r="AH79" s="474"/>
      <c r="AI79" s="474"/>
      <c r="AJ79" s="474"/>
      <c r="AK79" s="474"/>
      <c r="AL79" s="474"/>
      <c r="AM79" s="474"/>
      <c r="AN79" s="474"/>
      <c r="AO79" s="474"/>
      <c r="AP79" s="474"/>
      <c r="AQ79" s="474"/>
      <c r="AR79" s="474"/>
      <c r="AS79" s="474"/>
      <c r="AT79" s="474"/>
      <c r="AU79" s="474"/>
      <c r="AV79" s="474"/>
      <c r="AW79" s="474"/>
      <c r="AX79" s="474"/>
      <c r="AY79" s="474"/>
      <c r="AZ79" s="474"/>
      <c r="BA79" s="474"/>
      <c r="BB79" s="474"/>
      <c r="BC79" s="474"/>
      <c r="BD79" s="474"/>
      <c r="BE79" s="474"/>
      <c r="BF79" s="474"/>
    </row>
    <row r="80" spans="1:58" s="475" customFormat="1" ht="30" customHeight="1">
      <c r="A80" s="473"/>
      <c r="B80" s="16" t="s">
        <v>677</v>
      </c>
      <c r="C80" s="22" t="s">
        <v>10</v>
      </c>
      <c r="D80" s="45">
        <v>95946</v>
      </c>
      <c r="E80" s="22" t="s">
        <v>10</v>
      </c>
      <c r="F80" s="21" t="s">
        <v>421</v>
      </c>
      <c r="G80" s="173">
        <v>70</v>
      </c>
      <c r="H80" s="16" t="s">
        <v>17</v>
      </c>
      <c r="I80" s="19">
        <v>8.67</v>
      </c>
      <c r="J80" s="19">
        <f>I80*$I$3+I80</f>
        <v>10.44735</v>
      </c>
      <c r="K80" s="228">
        <f>G80*J80</f>
        <v>731.31449999999995</v>
      </c>
      <c r="L80" s="242">
        <f>K80/K78</f>
        <v>0.24411459187028825</v>
      </c>
      <c r="M80" s="258"/>
      <c r="N80" s="242"/>
      <c r="O80" s="474"/>
      <c r="P80" s="474"/>
      <c r="Q80" s="474"/>
      <c r="R80" s="474"/>
      <c r="S80" s="474"/>
      <c r="T80" s="474"/>
      <c r="U80" s="474"/>
      <c r="V80" s="474"/>
      <c r="W80" s="474"/>
      <c r="X80" s="474"/>
      <c r="Y80" s="474"/>
      <c r="Z80" s="474"/>
      <c r="AA80" s="474"/>
      <c r="AB80" s="474"/>
      <c r="AC80" s="474"/>
      <c r="AD80" s="474"/>
      <c r="AE80" s="474"/>
      <c r="AF80" s="474"/>
      <c r="AG80" s="474"/>
      <c r="AH80" s="474"/>
      <c r="AI80" s="474"/>
      <c r="AJ80" s="474"/>
      <c r="AK80" s="474"/>
      <c r="AL80" s="474"/>
      <c r="AM80" s="474"/>
      <c r="AN80" s="474"/>
      <c r="AO80" s="474"/>
      <c r="AP80" s="474"/>
      <c r="AQ80" s="474"/>
      <c r="AR80" s="474"/>
      <c r="AS80" s="474"/>
      <c r="AT80" s="474"/>
      <c r="AU80" s="474"/>
      <c r="AV80" s="474"/>
      <c r="AW80" s="474"/>
      <c r="AX80" s="474"/>
      <c r="AY80" s="474"/>
      <c r="AZ80" s="474"/>
      <c r="BA80" s="474"/>
      <c r="BB80" s="474"/>
      <c r="BC80" s="474"/>
      <c r="BD80" s="474"/>
      <c r="BE80" s="474"/>
      <c r="BF80" s="474"/>
    </row>
    <row r="81" spans="1:58" s="475" customFormat="1" ht="30" customHeight="1">
      <c r="A81" s="473"/>
      <c r="B81" s="16" t="s">
        <v>678</v>
      </c>
      <c r="C81" s="22" t="s">
        <v>10</v>
      </c>
      <c r="D81" s="45">
        <v>94967</v>
      </c>
      <c r="E81" s="22"/>
      <c r="F81" s="21" t="s">
        <v>419</v>
      </c>
      <c r="G81" s="173">
        <v>1.75</v>
      </c>
      <c r="H81" s="16" t="s">
        <v>14</v>
      </c>
      <c r="I81" s="19">
        <v>388.93</v>
      </c>
      <c r="J81" s="19">
        <f>I81*$I$3+I81</f>
        <v>468.66065000000003</v>
      </c>
      <c r="K81" s="228">
        <f>G81*J81</f>
        <v>820.15613750000011</v>
      </c>
      <c r="L81" s="242">
        <f>K81/K78</f>
        <v>0.27377015056548798</v>
      </c>
      <c r="M81" s="258"/>
      <c r="N81" s="242"/>
      <c r="O81" s="474"/>
      <c r="P81" s="474"/>
      <c r="Q81" s="474"/>
      <c r="R81" s="474"/>
      <c r="S81" s="474"/>
      <c r="T81" s="474"/>
      <c r="U81" s="474"/>
      <c r="V81" s="474"/>
      <c r="W81" s="474"/>
      <c r="X81" s="474"/>
      <c r="Y81" s="474"/>
      <c r="Z81" s="474"/>
      <c r="AA81" s="474"/>
      <c r="AB81" s="474"/>
      <c r="AC81" s="474"/>
      <c r="AD81" s="474"/>
      <c r="AE81" s="474"/>
      <c r="AF81" s="474"/>
      <c r="AG81" s="474"/>
      <c r="AH81" s="474"/>
      <c r="AI81" s="474"/>
      <c r="AJ81" s="474"/>
      <c r="AK81" s="474"/>
      <c r="AL81" s="474"/>
      <c r="AM81" s="474"/>
      <c r="AN81" s="474"/>
      <c r="AO81" s="474"/>
      <c r="AP81" s="474"/>
      <c r="AQ81" s="474"/>
      <c r="AR81" s="474"/>
      <c r="AS81" s="474"/>
      <c r="AT81" s="474"/>
      <c r="AU81" s="474"/>
      <c r="AV81" s="474"/>
      <c r="AW81" s="474"/>
      <c r="AX81" s="474"/>
      <c r="AY81" s="474"/>
      <c r="AZ81" s="474"/>
      <c r="BA81" s="474"/>
      <c r="BB81" s="474"/>
      <c r="BC81" s="474"/>
      <c r="BD81" s="474"/>
      <c r="BE81" s="474"/>
      <c r="BF81" s="474"/>
    </row>
    <row r="82" spans="1:58" customFormat="1" ht="25.2" customHeight="1">
      <c r="B82" s="494"/>
      <c r="C82" s="495"/>
      <c r="D82" s="496"/>
      <c r="E82" s="495"/>
      <c r="F82" s="497"/>
      <c r="G82" s="498"/>
      <c r="H82" s="495"/>
      <c r="I82" s="495"/>
      <c r="J82" s="495"/>
      <c r="K82" s="495"/>
      <c r="L82" s="499"/>
      <c r="M82" s="500"/>
      <c r="N82" s="501"/>
    </row>
    <row r="83" spans="1:58" ht="25.2" customHeight="1">
      <c r="B83" s="26" t="s">
        <v>465</v>
      </c>
      <c r="C83" s="537" t="s">
        <v>43</v>
      </c>
      <c r="D83" s="538"/>
      <c r="E83" s="538"/>
      <c r="F83" s="538"/>
      <c r="G83" s="538"/>
      <c r="H83" s="538"/>
      <c r="I83" s="538"/>
      <c r="J83" s="539"/>
      <c r="K83" s="226">
        <f>SUM(K84:K86)</f>
        <v>33074.598999999995</v>
      </c>
      <c r="L83" s="240">
        <f>SUM(L84:L86)</f>
        <v>1.0000000000000002</v>
      </c>
      <c r="M83" s="256">
        <f>K83/K96</f>
        <v>0.29143708073860314</v>
      </c>
      <c r="N83" s="240">
        <f>K83/K398</f>
        <v>5.0890228045875174E-2</v>
      </c>
    </row>
    <row r="84" spans="1:58" s="475" customFormat="1" ht="39" customHeight="1">
      <c r="A84" s="473"/>
      <c r="B84" s="16" t="s">
        <v>679</v>
      </c>
      <c r="C84" s="22" t="s">
        <v>10</v>
      </c>
      <c r="D84" s="40" t="s">
        <v>457</v>
      </c>
      <c r="E84" s="22" t="s">
        <v>10</v>
      </c>
      <c r="F84" s="33" t="s">
        <v>458</v>
      </c>
      <c r="G84" s="174">
        <v>185</v>
      </c>
      <c r="H84" s="16" t="s">
        <v>15</v>
      </c>
      <c r="I84" s="34">
        <v>85.83</v>
      </c>
      <c r="J84" s="19">
        <f>I84*$I$3+I84</f>
        <v>103.42515</v>
      </c>
      <c r="K84" s="228">
        <f>G84*J84</f>
        <v>19133.652750000001</v>
      </c>
      <c r="L84" s="242">
        <f>K84/K83</f>
        <v>0.57849991620457752</v>
      </c>
      <c r="M84" s="258"/>
      <c r="N84" s="242"/>
      <c r="O84" s="474"/>
      <c r="P84" s="474"/>
      <c r="Q84" s="474"/>
      <c r="R84" s="474"/>
      <c r="S84" s="474"/>
      <c r="T84" s="474"/>
      <c r="U84" s="474"/>
      <c r="V84" s="474"/>
      <c r="W84" s="474"/>
      <c r="X84" s="474"/>
      <c r="Y84" s="474"/>
      <c r="Z84" s="474"/>
      <c r="AA84" s="474"/>
      <c r="AB84" s="474"/>
      <c r="AC84" s="474"/>
      <c r="AD84" s="474"/>
      <c r="AE84" s="474"/>
      <c r="AF84" s="474"/>
      <c r="AG84" s="474"/>
      <c r="AH84" s="474"/>
      <c r="AI84" s="474"/>
      <c r="AJ84" s="474"/>
      <c r="AK84" s="474"/>
      <c r="AL84" s="474"/>
      <c r="AM84" s="474"/>
      <c r="AN84" s="474"/>
      <c r="AO84" s="474"/>
      <c r="AP84" s="474"/>
      <c r="AQ84" s="474"/>
      <c r="AR84" s="474"/>
      <c r="AS84" s="474"/>
      <c r="AT84" s="474"/>
      <c r="AU84" s="474"/>
      <c r="AV84" s="474"/>
      <c r="AW84" s="474"/>
      <c r="AX84" s="474"/>
      <c r="AY84" s="474"/>
      <c r="AZ84" s="474"/>
      <c r="BA84" s="474"/>
      <c r="BB84" s="474"/>
      <c r="BC84" s="474"/>
      <c r="BD84" s="474"/>
      <c r="BE84" s="474"/>
      <c r="BF84" s="474"/>
    </row>
    <row r="85" spans="1:58" s="475" customFormat="1" ht="33" customHeight="1">
      <c r="A85" s="473"/>
      <c r="B85" s="16" t="s">
        <v>680</v>
      </c>
      <c r="C85" s="22" t="s">
        <v>10</v>
      </c>
      <c r="D85" s="40" t="s">
        <v>401</v>
      </c>
      <c r="E85" s="22" t="s">
        <v>10</v>
      </c>
      <c r="F85" s="33" t="s">
        <v>402</v>
      </c>
      <c r="G85" s="174">
        <v>95</v>
      </c>
      <c r="H85" s="16" t="s">
        <v>15</v>
      </c>
      <c r="I85" s="34">
        <v>116.17</v>
      </c>
      <c r="J85" s="19">
        <f>I85*$I$3+I85</f>
        <v>139.98484999999999</v>
      </c>
      <c r="K85" s="228">
        <f>G85*J85</f>
        <v>13298.560749999999</v>
      </c>
      <c r="L85" s="242">
        <f>K85/K83</f>
        <v>0.40207776215215796</v>
      </c>
      <c r="M85" s="258"/>
      <c r="N85" s="242"/>
      <c r="O85" s="474"/>
      <c r="P85" s="474"/>
      <c r="Q85" s="474"/>
      <c r="R85" s="474"/>
      <c r="S85" s="474"/>
      <c r="T85" s="474"/>
      <c r="U85" s="474"/>
      <c r="V85" s="474"/>
      <c r="W85" s="474"/>
      <c r="X85" s="474"/>
      <c r="Y85" s="474"/>
      <c r="Z85" s="474"/>
      <c r="AA85" s="474"/>
      <c r="AB85" s="474"/>
      <c r="AC85" s="474"/>
      <c r="AD85" s="474"/>
      <c r="AE85" s="474"/>
      <c r="AF85" s="474"/>
      <c r="AG85" s="474"/>
      <c r="AH85" s="474"/>
      <c r="AI85" s="474"/>
      <c r="AJ85" s="474"/>
      <c r="AK85" s="474"/>
      <c r="AL85" s="474"/>
      <c r="AM85" s="474"/>
      <c r="AN85" s="474"/>
      <c r="AO85" s="474"/>
      <c r="AP85" s="474"/>
      <c r="AQ85" s="474"/>
      <c r="AR85" s="474"/>
      <c r="AS85" s="474"/>
      <c r="AT85" s="474"/>
      <c r="AU85" s="474"/>
      <c r="AV85" s="474"/>
      <c r="AW85" s="474"/>
      <c r="AX85" s="474"/>
      <c r="AY85" s="474"/>
      <c r="AZ85" s="474"/>
      <c r="BA85" s="474"/>
      <c r="BB85" s="474"/>
      <c r="BC85" s="474"/>
      <c r="BD85" s="474"/>
      <c r="BE85" s="474"/>
      <c r="BF85" s="474"/>
    </row>
    <row r="86" spans="1:58" s="475" customFormat="1" ht="30" customHeight="1">
      <c r="A86" s="473"/>
      <c r="B86" s="16" t="s">
        <v>681</v>
      </c>
      <c r="C86" s="22" t="s">
        <v>10</v>
      </c>
      <c r="D86" s="180">
        <v>98556</v>
      </c>
      <c r="E86" s="22"/>
      <c r="F86" s="21" t="s">
        <v>431</v>
      </c>
      <c r="G86" s="173">
        <v>15</v>
      </c>
      <c r="H86" s="16" t="s">
        <v>15</v>
      </c>
      <c r="I86" s="19">
        <v>35.54</v>
      </c>
      <c r="J86" s="19">
        <f t="shared" ref="J86" si="12">I86*$I$3+I86</f>
        <v>42.825699999999998</v>
      </c>
      <c r="K86" s="228">
        <f t="shared" ref="K86" si="13">G86*J86</f>
        <v>642.38549999999998</v>
      </c>
      <c r="L86" s="242">
        <f>K86/K83</f>
        <v>1.9422321643264674E-2</v>
      </c>
      <c r="M86" s="258"/>
      <c r="N86" s="242"/>
      <c r="O86" s="474"/>
      <c r="P86" s="474"/>
      <c r="Q86" s="474"/>
      <c r="R86" s="474"/>
      <c r="S86" s="474"/>
      <c r="T86" s="474"/>
      <c r="U86" s="474"/>
      <c r="V86" s="474"/>
      <c r="W86" s="474"/>
      <c r="X86" s="474"/>
      <c r="Y86" s="474"/>
      <c r="Z86" s="474"/>
      <c r="AA86" s="474"/>
      <c r="AB86" s="474"/>
      <c r="AC86" s="474"/>
      <c r="AD86" s="474"/>
      <c r="AE86" s="474"/>
      <c r="AF86" s="474"/>
      <c r="AG86" s="474"/>
      <c r="AH86" s="474"/>
      <c r="AI86" s="474"/>
      <c r="AJ86" s="474"/>
      <c r="AK86" s="474"/>
      <c r="AL86" s="474"/>
      <c r="AM86" s="474"/>
      <c r="AN86" s="474"/>
      <c r="AO86" s="474"/>
      <c r="AP86" s="474"/>
      <c r="AQ86" s="474"/>
      <c r="AR86" s="474"/>
      <c r="AS86" s="474"/>
      <c r="AT86" s="474"/>
      <c r="AU86" s="474"/>
      <c r="AV86" s="474"/>
      <c r="AW86" s="474"/>
      <c r="AX86" s="474"/>
      <c r="AY86" s="474"/>
      <c r="AZ86" s="474"/>
      <c r="BA86" s="474"/>
      <c r="BB86" s="474"/>
      <c r="BC86" s="474"/>
      <c r="BD86" s="474"/>
      <c r="BE86" s="474"/>
      <c r="BF86" s="474"/>
    </row>
    <row r="87" spans="1:58" customFormat="1" ht="25.2" customHeight="1">
      <c r="B87" s="494"/>
      <c r="C87" s="495"/>
      <c r="D87" s="496"/>
      <c r="E87" s="495"/>
      <c r="F87" s="497"/>
      <c r="G87" s="498"/>
      <c r="H87" s="495"/>
      <c r="I87" s="495"/>
      <c r="J87" s="495"/>
      <c r="K87" s="495"/>
      <c r="L87" s="499"/>
      <c r="M87" s="500"/>
      <c r="N87" s="501"/>
    </row>
    <row r="88" spans="1:58" ht="25.2" customHeight="1">
      <c r="B88" s="26" t="s">
        <v>466</v>
      </c>
      <c r="C88" s="537" t="s">
        <v>21</v>
      </c>
      <c r="D88" s="538"/>
      <c r="E88" s="538"/>
      <c r="F88" s="538"/>
      <c r="G88" s="538"/>
      <c r="H88" s="538"/>
      <c r="I88" s="538"/>
      <c r="J88" s="539"/>
      <c r="K88" s="226">
        <f>SUM(K89:K94)</f>
        <v>2964.7217499999997</v>
      </c>
      <c r="L88" s="240">
        <f>SUM(L89:L94)</f>
        <v>1</v>
      </c>
      <c r="M88" s="256">
        <f>K88/K96</f>
        <v>2.6123668257391205E-2</v>
      </c>
      <c r="N88" s="240">
        <f>K88/K398</f>
        <v>4.5616687884882942E-3</v>
      </c>
    </row>
    <row r="89" spans="1:58" s="475" customFormat="1" ht="25.2" customHeight="1">
      <c r="A89" s="473"/>
      <c r="B89" s="16" t="s">
        <v>682</v>
      </c>
      <c r="C89" s="22" t="s">
        <v>10</v>
      </c>
      <c r="D89" s="40">
        <v>93186</v>
      </c>
      <c r="E89" s="16" t="s">
        <v>10</v>
      </c>
      <c r="F89" s="21" t="s">
        <v>395</v>
      </c>
      <c r="G89" s="174">
        <v>15.3</v>
      </c>
      <c r="H89" s="16" t="s">
        <v>13</v>
      </c>
      <c r="I89" s="34">
        <v>55.32</v>
      </c>
      <c r="J89" s="19">
        <f t="shared" ref="J89:J94" si="14">I89*$I$3+I89</f>
        <v>66.660600000000002</v>
      </c>
      <c r="K89" s="228">
        <f t="shared" ref="K89:K94" si="15">G89*J89</f>
        <v>1019.90718</v>
      </c>
      <c r="L89" s="242">
        <f>K89/K88</f>
        <v>0.3440144694860488</v>
      </c>
      <c r="M89" s="258"/>
      <c r="N89" s="242"/>
      <c r="O89" s="474"/>
      <c r="P89" s="474"/>
      <c r="Q89" s="474"/>
      <c r="R89" s="474"/>
      <c r="S89" s="474"/>
      <c r="T89" s="474"/>
      <c r="U89" s="474"/>
      <c r="V89" s="474"/>
      <c r="W89" s="474"/>
      <c r="X89" s="474"/>
      <c r="Y89" s="474"/>
      <c r="Z89" s="474"/>
      <c r="AA89" s="474"/>
      <c r="AB89" s="474"/>
      <c r="AC89" s="474"/>
      <c r="AD89" s="474"/>
      <c r="AE89" s="474"/>
      <c r="AF89" s="474"/>
      <c r="AG89" s="474"/>
      <c r="AH89" s="474"/>
      <c r="AI89" s="474"/>
      <c r="AJ89" s="474"/>
      <c r="AK89" s="474"/>
      <c r="AL89" s="474"/>
      <c r="AM89" s="474"/>
      <c r="AN89" s="474"/>
      <c r="AO89" s="474"/>
      <c r="AP89" s="474"/>
      <c r="AQ89" s="474"/>
      <c r="AR89" s="474"/>
      <c r="AS89" s="474"/>
      <c r="AT89" s="474"/>
      <c r="AU89" s="474"/>
      <c r="AV89" s="474"/>
      <c r="AW89" s="474"/>
      <c r="AX89" s="474"/>
      <c r="AY89" s="474"/>
      <c r="AZ89" s="474"/>
      <c r="BA89" s="474"/>
      <c r="BB89" s="474"/>
      <c r="BC89" s="474"/>
      <c r="BD89" s="474"/>
      <c r="BE89" s="474"/>
      <c r="BF89" s="474"/>
    </row>
    <row r="90" spans="1:58" s="475" customFormat="1" ht="25.2" customHeight="1">
      <c r="A90" s="473"/>
      <c r="B90" s="16" t="s">
        <v>683</v>
      </c>
      <c r="C90" s="22" t="s">
        <v>10</v>
      </c>
      <c r="D90" s="40">
        <v>93187</v>
      </c>
      <c r="E90" s="16" t="s">
        <v>10</v>
      </c>
      <c r="F90" s="21" t="s">
        <v>394</v>
      </c>
      <c r="G90" s="174">
        <v>2</v>
      </c>
      <c r="H90" s="16" t="s">
        <v>13</v>
      </c>
      <c r="I90" s="34">
        <v>62.74</v>
      </c>
      <c r="J90" s="19">
        <f t="shared" si="14"/>
        <v>75.601699999999994</v>
      </c>
      <c r="K90" s="228">
        <f t="shared" si="15"/>
        <v>151.20339999999999</v>
      </c>
      <c r="L90" s="242">
        <f>K90/K88</f>
        <v>5.1000873859410246E-2</v>
      </c>
      <c r="M90" s="258"/>
      <c r="N90" s="242"/>
      <c r="O90" s="474"/>
      <c r="P90" s="474"/>
      <c r="Q90" s="474"/>
      <c r="R90" s="474"/>
      <c r="S90" s="474"/>
      <c r="T90" s="474"/>
      <c r="U90" s="474"/>
      <c r="V90" s="474"/>
      <c r="W90" s="474"/>
      <c r="X90" s="474"/>
      <c r="Y90" s="474"/>
      <c r="Z90" s="474"/>
      <c r="AA90" s="474"/>
      <c r="AB90" s="474"/>
      <c r="AC90" s="474"/>
      <c r="AD90" s="474"/>
      <c r="AE90" s="474"/>
      <c r="AF90" s="474"/>
      <c r="AG90" s="474"/>
      <c r="AH90" s="474"/>
      <c r="AI90" s="474"/>
      <c r="AJ90" s="474"/>
      <c r="AK90" s="474"/>
      <c r="AL90" s="474"/>
      <c r="AM90" s="474"/>
      <c r="AN90" s="474"/>
      <c r="AO90" s="474"/>
      <c r="AP90" s="474"/>
      <c r="AQ90" s="474"/>
      <c r="AR90" s="474"/>
      <c r="AS90" s="474"/>
      <c r="AT90" s="474"/>
      <c r="AU90" s="474"/>
      <c r="AV90" s="474"/>
      <c r="AW90" s="474"/>
      <c r="AX90" s="474"/>
      <c r="AY90" s="474"/>
      <c r="AZ90" s="474"/>
      <c r="BA90" s="474"/>
      <c r="BB90" s="474"/>
      <c r="BC90" s="474"/>
      <c r="BD90" s="474"/>
      <c r="BE90" s="474"/>
      <c r="BF90" s="474"/>
    </row>
    <row r="91" spans="1:58" s="475" customFormat="1" ht="25.2" customHeight="1">
      <c r="A91" s="473"/>
      <c r="B91" s="16" t="s">
        <v>684</v>
      </c>
      <c r="C91" s="22" t="s">
        <v>10</v>
      </c>
      <c r="D91" s="40">
        <v>93188</v>
      </c>
      <c r="E91" s="16" t="s">
        <v>10</v>
      </c>
      <c r="F91" s="21" t="s">
        <v>396</v>
      </c>
      <c r="G91" s="174">
        <v>6.4</v>
      </c>
      <c r="H91" s="16" t="s">
        <v>13</v>
      </c>
      <c r="I91" s="34">
        <v>50.56</v>
      </c>
      <c r="J91" s="19">
        <f t="shared" si="14"/>
        <v>60.924800000000005</v>
      </c>
      <c r="K91" s="228">
        <f t="shared" si="15"/>
        <v>389.91872000000006</v>
      </c>
      <c r="L91" s="242">
        <f>K91/K88</f>
        <v>0.13151949925823564</v>
      </c>
      <c r="M91" s="258"/>
      <c r="N91" s="242"/>
      <c r="O91" s="474"/>
      <c r="P91" s="474"/>
      <c r="Q91" s="474"/>
      <c r="R91" s="474"/>
      <c r="S91" s="474"/>
      <c r="T91" s="474"/>
      <c r="U91" s="474"/>
      <c r="V91" s="474"/>
      <c r="W91" s="474"/>
      <c r="X91" s="474"/>
      <c r="Y91" s="474"/>
      <c r="Z91" s="474"/>
      <c r="AA91" s="474"/>
      <c r="AB91" s="474"/>
      <c r="AC91" s="474"/>
      <c r="AD91" s="474"/>
      <c r="AE91" s="474"/>
      <c r="AF91" s="474"/>
      <c r="AG91" s="474"/>
      <c r="AH91" s="474"/>
      <c r="AI91" s="474"/>
      <c r="AJ91" s="474"/>
      <c r="AK91" s="474"/>
      <c r="AL91" s="474"/>
      <c r="AM91" s="474"/>
      <c r="AN91" s="474"/>
      <c r="AO91" s="474"/>
      <c r="AP91" s="474"/>
      <c r="AQ91" s="474"/>
      <c r="AR91" s="474"/>
      <c r="AS91" s="474"/>
      <c r="AT91" s="474"/>
      <c r="AU91" s="474"/>
      <c r="AV91" s="474"/>
      <c r="AW91" s="474"/>
      <c r="AX91" s="474"/>
      <c r="AY91" s="474"/>
      <c r="AZ91" s="474"/>
      <c r="BA91" s="474"/>
      <c r="BB91" s="474"/>
      <c r="BC91" s="474"/>
      <c r="BD91" s="474"/>
      <c r="BE91" s="474"/>
      <c r="BF91" s="474"/>
    </row>
    <row r="92" spans="1:58" s="475" customFormat="1" ht="25.2" customHeight="1">
      <c r="A92" s="473"/>
      <c r="B92" s="16" t="s">
        <v>685</v>
      </c>
      <c r="C92" s="22" t="s">
        <v>10</v>
      </c>
      <c r="D92" s="40">
        <v>93189</v>
      </c>
      <c r="E92" s="16" t="s">
        <v>10</v>
      </c>
      <c r="F92" s="21" t="s">
        <v>397</v>
      </c>
      <c r="G92" s="174">
        <v>3.4</v>
      </c>
      <c r="H92" s="16" t="s">
        <v>13</v>
      </c>
      <c r="I92" s="34">
        <v>62.89</v>
      </c>
      <c r="J92" s="19">
        <f t="shared" si="14"/>
        <v>75.782449999999997</v>
      </c>
      <c r="K92" s="228">
        <f t="shared" si="15"/>
        <v>257.66032999999999</v>
      </c>
      <c r="L92" s="242">
        <f>K92/K88</f>
        <v>8.6908773142032644E-2</v>
      </c>
      <c r="M92" s="258"/>
      <c r="N92" s="242"/>
      <c r="O92" s="474"/>
      <c r="P92" s="474"/>
      <c r="Q92" s="474"/>
      <c r="R92" s="474"/>
      <c r="S92" s="474"/>
      <c r="T92" s="474"/>
      <c r="U92" s="474"/>
      <c r="V92" s="474"/>
      <c r="W92" s="474"/>
      <c r="X92" s="474"/>
      <c r="Y92" s="474"/>
      <c r="Z92" s="474"/>
      <c r="AA92" s="474"/>
      <c r="AB92" s="474"/>
      <c r="AC92" s="474"/>
      <c r="AD92" s="474"/>
      <c r="AE92" s="474"/>
      <c r="AF92" s="474"/>
      <c r="AG92" s="474"/>
      <c r="AH92" s="474"/>
      <c r="AI92" s="474"/>
      <c r="AJ92" s="474"/>
      <c r="AK92" s="474"/>
      <c r="AL92" s="474"/>
      <c r="AM92" s="474"/>
      <c r="AN92" s="474"/>
      <c r="AO92" s="474"/>
      <c r="AP92" s="474"/>
      <c r="AQ92" s="474"/>
      <c r="AR92" s="474"/>
      <c r="AS92" s="474"/>
      <c r="AT92" s="474"/>
      <c r="AU92" s="474"/>
      <c r="AV92" s="474"/>
      <c r="AW92" s="474"/>
      <c r="AX92" s="474"/>
      <c r="AY92" s="474"/>
      <c r="AZ92" s="474"/>
      <c r="BA92" s="474"/>
      <c r="BB92" s="474"/>
      <c r="BC92" s="474"/>
      <c r="BD92" s="474"/>
      <c r="BE92" s="474"/>
      <c r="BF92" s="474"/>
    </row>
    <row r="93" spans="1:58" s="475" customFormat="1" ht="25.2" customHeight="1">
      <c r="A93" s="473"/>
      <c r="B93" s="16" t="s">
        <v>686</v>
      </c>
      <c r="C93" s="22" t="s">
        <v>10</v>
      </c>
      <c r="D93" s="40">
        <v>93196</v>
      </c>
      <c r="E93" s="16" t="s">
        <v>10</v>
      </c>
      <c r="F93" s="21" t="s">
        <v>399</v>
      </c>
      <c r="G93" s="174">
        <v>15.3</v>
      </c>
      <c r="H93" s="16" t="s">
        <v>13</v>
      </c>
      <c r="I93" s="34">
        <v>54.28</v>
      </c>
      <c r="J93" s="19">
        <f t="shared" si="14"/>
        <v>65.407399999999996</v>
      </c>
      <c r="K93" s="228">
        <f t="shared" si="15"/>
        <v>1000.73322</v>
      </c>
      <c r="L93" s="242">
        <f>K93/K88</f>
        <v>0.33754709695774993</v>
      </c>
      <c r="M93" s="258"/>
      <c r="N93" s="242"/>
      <c r="O93" s="474"/>
      <c r="P93" s="474"/>
      <c r="Q93" s="474"/>
      <c r="R93" s="474"/>
      <c r="S93" s="474"/>
      <c r="T93" s="474"/>
      <c r="U93" s="474"/>
      <c r="V93" s="474"/>
      <c r="W93" s="474"/>
      <c r="X93" s="474"/>
      <c r="Y93" s="474"/>
      <c r="Z93" s="474"/>
      <c r="AA93" s="474"/>
      <c r="AB93" s="474"/>
      <c r="AC93" s="474"/>
      <c r="AD93" s="474"/>
      <c r="AE93" s="474"/>
      <c r="AF93" s="474"/>
      <c r="AG93" s="474"/>
      <c r="AH93" s="474"/>
      <c r="AI93" s="474"/>
      <c r="AJ93" s="474"/>
      <c r="AK93" s="474"/>
      <c r="AL93" s="474"/>
      <c r="AM93" s="474"/>
      <c r="AN93" s="474"/>
      <c r="AO93" s="474"/>
      <c r="AP93" s="474"/>
      <c r="AQ93" s="474"/>
      <c r="AR93" s="474"/>
      <c r="AS93" s="474"/>
      <c r="AT93" s="474"/>
      <c r="AU93" s="474"/>
      <c r="AV93" s="474"/>
      <c r="AW93" s="474"/>
      <c r="AX93" s="474"/>
      <c r="AY93" s="474"/>
      <c r="AZ93" s="474"/>
      <c r="BA93" s="474"/>
      <c r="BB93" s="474"/>
      <c r="BC93" s="474"/>
      <c r="BD93" s="474"/>
      <c r="BE93" s="474"/>
      <c r="BF93" s="474"/>
    </row>
    <row r="94" spans="1:58" s="475" customFormat="1" ht="25.2" customHeight="1">
      <c r="A94" s="473"/>
      <c r="B94" s="16" t="s">
        <v>687</v>
      </c>
      <c r="C94" s="22" t="s">
        <v>10</v>
      </c>
      <c r="D94" s="40">
        <v>93197</v>
      </c>
      <c r="E94" s="16" t="s">
        <v>10</v>
      </c>
      <c r="F94" s="21" t="s">
        <v>400</v>
      </c>
      <c r="G94" s="174">
        <v>2</v>
      </c>
      <c r="H94" s="16" t="s">
        <v>13</v>
      </c>
      <c r="I94" s="34">
        <v>60.29</v>
      </c>
      <c r="J94" s="19">
        <f t="shared" si="14"/>
        <v>72.649450000000002</v>
      </c>
      <c r="K94" s="228">
        <f t="shared" si="15"/>
        <v>145.2989</v>
      </c>
      <c r="L94" s="242">
        <f>K94/K88</f>
        <v>4.900928729652286E-2</v>
      </c>
      <c r="M94" s="258"/>
      <c r="N94" s="242"/>
      <c r="O94" s="474"/>
      <c r="P94" s="474"/>
      <c r="Q94" s="474"/>
      <c r="R94" s="474"/>
      <c r="S94" s="474"/>
      <c r="T94" s="474"/>
      <c r="U94" s="474"/>
      <c r="V94" s="474"/>
      <c r="W94" s="474"/>
      <c r="X94" s="474"/>
      <c r="Y94" s="474"/>
      <c r="Z94" s="474"/>
      <c r="AA94" s="474"/>
      <c r="AB94" s="474"/>
      <c r="AC94" s="474"/>
      <c r="AD94" s="474"/>
      <c r="AE94" s="474"/>
      <c r="AF94" s="474"/>
      <c r="AG94" s="474"/>
      <c r="AH94" s="474"/>
      <c r="AI94" s="474"/>
      <c r="AJ94" s="474"/>
      <c r="AK94" s="474"/>
      <c r="AL94" s="474"/>
      <c r="AM94" s="474"/>
      <c r="AN94" s="474"/>
      <c r="AO94" s="474"/>
      <c r="AP94" s="474"/>
      <c r="AQ94" s="474"/>
      <c r="AR94" s="474"/>
      <c r="AS94" s="474"/>
      <c r="AT94" s="474"/>
      <c r="AU94" s="474"/>
      <c r="AV94" s="474"/>
      <c r="AW94" s="474"/>
      <c r="AX94" s="474"/>
      <c r="AY94" s="474"/>
      <c r="AZ94" s="474"/>
      <c r="BA94" s="474"/>
      <c r="BB94" s="474"/>
      <c r="BC94" s="474"/>
      <c r="BD94" s="474"/>
      <c r="BE94" s="474"/>
      <c r="BF94" s="474"/>
    </row>
    <row r="95" spans="1:58" ht="25.2" customHeight="1" thickBot="1">
      <c r="B95" s="2"/>
      <c r="C95" s="28"/>
      <c r="D95" s="168"/>
      <c r="E95" s="28"/>
      <c r="F95" s="190"/>
      <c r="G95" s="209"/>
      <c r="H95" s="2"/>
      <c r="I95" s="29"/>
      <c r="J95" s="212"/>
      <c r="K95" s="231"/>
    </row>
    <row r="96" spans="1:58" ht="25.2" customHeight="1" thickBot="1">
      <c r="B96" s="535" t="s">
        <v>448</v>
      </c>
      <c r="C96" s="536"/>
      <c r="D96" s="536"/>
      <c r="E96" s="536"/>
      <c r="F96" s="536"/>
      <c r="G96" s="536"/>
      <c r="H96" s="536"/>
      <c r="I96" s="536"/>
      <c r="J96" s="536"/>
      <c r="K96" s="232">
        <f>SUM(K64,K71,K78,K83,K88)</f>
        <v>113487.95738750001</v>
      </c>
      <c r="L96" s="243"/>
      <c r="M96" s="260">
        <f>SUM(M64:M95)</f>
        <v>0.99999999999999989</v>
      </c>
      <c r="N96" s="311">
        <f>SUM(N64:N95)</f>
        <v>0.17461823291978354</v>
      </c>
    </row>
    <row r="97" spans="1:58" ht="25.2" customHeight="1" thickBot="1">
      <c r="B97" s="14"/>
      <c r="C97" s="14"/>
      <c r="D97" s="185"/>
      <c r="E97" s="14"/>
      <c r="F97" s="15"/>
      <c r="G97" s="175"/>
      <c r="H97" s="14"/>
      <c r="I97" s="176"/>
      <c r="J97" s="229"/>
      <c r="K97" s="230"/>
    </row>
    <row r="98" spans="1:58" ht="25.2" customHeight="1" thickBot="1">
      <c r="B98" s="262">
        <v>4</v>
      </c>
      <c r="C98" s="540" t="s">
        <v>398</v>
      </c>
      <c r="D98" s="529"/>
      <c r="E98" s="529"/>
      <c r="F98" s="529"/>
      <c r="G98" s="529"/>
      <c r="H98" s="529"/>
      <c r="I98" s="529"/>
      <c r="J98" s="529"/>
      <c r="K98" s="273">
        <f>SUM(K99:K99)</f>
        <v>40989.279999999999</v>
      </c>
      <c r="L98" s="284">
        <f>SUM(L99:L99)</f>
        <v>1</v>
      </c>
      <c r="M98" s="274">
        <f>K98/K101</f>
        <v>1</v>
      </c>
      <c r="N98" s="312">
        <f>K98/K398</f>
        <v>6.3068151079812965E-2</v>
      </c>
    </row>
    <row r="99" spans="1:58" s="475" customFormat="1" ht="40.200000000000003" customHeight="1">
      <c r="A99" s="473"/>
      <c r="B99" s="264" t="s">
        <v>688</v>
      </c>
      <c r="C99" s="22" t="s">
        <v>10</v>
      </c>
      <c r="D99" s="180" t="s">
        <v>888</v>
      </c>
      <c r="E99" s="22"/>
      <c r="F99" s="21" t="s">
        <v>392</v>
      </c>
      <c r="G99" s="173">
        <v>640</v>
      </c>
      <c r="H99" s="22" t="s">
        <v>15</v>
      </c>
      <c r="I99" s="19">
        <v>53.15</v>
      </c>
      <c r="J99" s="19">
        <f>I99*$I$3+I99</f>
        <v>64.045749999999998</v>
      </c>
      <c r="K99" s="228">
        <f>G99*J99</f>
        <v>40989.279999999999</v>
      </c>
      <c r="L99" s="242">
        <f>K99/K98</f>
        <v>1</v>
      </c>
      <c r="M99" s="275"/>
      <c r="N99" s="263"/>
      <c r="O99" s="474"/>
      <c r="P99" s="474"/>
      <c r="Q99" s="474"/>
      <c r="R99" s="474"/>
      <c r="S99" s="474"/>
      <c r="T99" s="474"/>
      <c r="U99" s="474"/>
      <c r="V99" s="474"/>
      <c r="W99" s="474"/>
      <c r="X99" s="474"/>
      <c r="Y99" s="474"/>
      <c r="Z99" s="474"/>
      <c r="AA99" s="474"/>
      <c r="AB99" s="474"/>
      <c r="AC99" s="474"/>
      <c r="AD99" s="474"/>
      <c r="AE99" s="474"/>
      <c r="AF99" s="474"/>
      <c r="AG99" s="474"/>
      <c r="AH99" s="474"/>
      <c r="AI99" s="474"/>
      <c r="AJ99" s="474"/>
      <c r="AK99" s="474"/>
      <c r="AL99" s="474"/>
      <c r="AM99" s="474"/>
      <c r="AN99" s="474"/>
      <c r="AO99" s="474"/>
      <c r="AP99" s="474"/>
      <c r="AQ99" s="474"/>
      <c r="AR99" s="474"/>
      <c r="AS99" s="474"/>
      <c r="AT99" s="474"/>
      <c r="AU99" s="474"/>
      <c r="AV99" s="474"/>
      <c r="AW99" s="474"/>
      <c r="AX99" s="474"/>
      <c r="AY99" s="474"/>
      <c r="AZ99" s="474"/>
      <c r="BA99" s="474"/>
      <c r="BB99" s="474"/>
      <c r="BC99" s="474"/>
      <c r="BD99" s="474"/>
      <c r="BE99" s="474"/>
      <c r="BF99" s="474"/>
    </row>
    <row r="100" spans="1:58" ht="25.2" customHeight="1" thickBot="1">
      <c r="B100" s="2"/>
      <c r="C100" s="28"/>
      <c r="D100" s="168"/>
      <c r="E100" s="28"/>
      <c r="F100" s="190"/>
      <c r="G100" s="209"/>
      <c r="H100" s="2"/>
      <c r="I100" s="29"/>
      <c r="J100" s="212"/>
      <c r="K100" s="231"/>
    </row>
    <row r="101" spans="1:58" ht="25.2" customHeight="1" thickBot="1">
      <c r="B101" s="535" t="s">
        <v>448</v>
      </c>
      <c r="C101" s="536"/>
      <c r="D101" s="536"/>
      <c r="E101" s="536"/>
      <c r="F101" s="536"/>
      <c r="G101" s="536"/>
      <c r="H101" s="536"/>
      <c r="I101" s="536"/>
      <c r="J101" s="536"/>
      <c r="K101" s="232">
        <f>K98</f>
        <v>40989.279999999999</v>
      </c>
      <c r="L101" s="243"/>
      <c r="M101" s="260">
        <f>K98/K101</f>
        <v>1</v>
      </c>
      <c r="N101" s="311">
        <f>SUM(N98:N100)</f>
        <v>6.3068151079812965E-2</v>
      </c>
    </row>
    <row r="102" spans="1:58" ht="25.2" customHeight="1" thickBot="1">
      <c r="B102" s="14"/>
      <c r="C102" s="14"/>
      <c r="D102" s="185"/>
      <c r="E102" s="14"/>
      <c r="F102" s="15"/>
      <c r="G102" s="175"/>
      <c r="H102" s="14"/>
      <c r="I102" s="176"/>
      <c r="J102" s="229"/>
      <c r="K102" s="230"/>
    </row>
    <row r="103" spans="1:58" ht="25.2" customHeight="1" thickBot="1">
      <c r="B103" s="192">
        <v>5</v>
      </c>
      <c r="C103" s="529" t="s">
        <v>53</v>
      </c>
      <c r="D103" s="529"/>
      <c r="E103" s="529"/>
      <c r="F103" s="529"/>
      <c r="G103" s="529"/>
      <c r="H103" s="529"/>
      <c r="I103" s="529"/>
      <c r="J103" s="529"/>
      <c r="K103" s="277">
        <f>SUM(K104:K107)</f>
        <v>23607.926200000002</v>
      </c>
      <c r="L103" s="284">
        <f>SUM(L104:L107)</f>
        <v>1</v>
      </c>
      <c r="M103" s="274">
        <f>K103/K109</f>
        <v>1</v>
      </c>
      <c r="N103" s="313">
        <f>K103/K398</f>
        <v>3.6324333002743035E-2</v>
      </c>
    </row>
    <row r="104" spans="1:58" s="475" customFormat="1" ht="40.200000000000003" customHeight="1">
      <c r="A104" s="473"/>
      <c r="B104" s="264" t="s">
        <v>48</v>
      </c>
      <c r="C104" s="22" t="s">
        <v>10</v>
      </c>
      <c r="D104" s="180" t="s">
        <v>998</v>
      </c>
      <c r="E104" s="22"/>
      <c r="F104" s="21" t="s">
        <v>997</v>
      </c>
      <c r="G104" s="173">
        <v>4</v>
      </c>
      <c r="H104" s="22" t="s">
        <v>1</v>
      </c>
      <c r="I104" s="19">
        <v>272.75</v>
      </c>
      <c r="J104" s="19">
        <f t="shared" ref="J104:J107" si="16">I104*$I$3+I104</f>
        <v>328.66374999999999</v>
      </c>
      <c r="K104" s="228">
        <f t="shared" ref="K104:K107" si="17">G104*J104</f>
        <v>1314.655</v>
      </c>
      <c r="L104" s="242">
        <f>K104/K103</f>
        <v>5.5687017523800966E-2</v>
      </c>
      <c r="M104" s="258"/>
      <c r="N104" s="242"/>
      <c r="O104" s="474"/>
      <c r="P104" s="474"/>
      <c r="Q104" s="474"/>
      <c r="R104" s="474"/>
      <c r="S104" s="474"/>
      <c r="T104" s="474"/>
      <c r="U104" s="474"/>
      <c r="V104" s="474"/>
      <c r="W104" s="474"/>
      <c r="X104" s="474"/>
      <c r="Y104" s="474"/>
      <c r="Z104" s="474"/>
      <c r="AA104" s="474"/>
      <c r="AB104" s="474"/>
      <c r="AC104" s="474"/>
      <c r="AD104" s="474"/>
      <c r="AE104" s="474"/>
      <c r="AF104" s="474"/>
      <c r="AG104" s="474"/>
      <c r="AH104" s="474"/>
      <c r="AI104" s="474"/>
      <c r="AJ104" s="474"/>
      <c r="AK104" s="474"/>
      <c r="AL104" s="474"/>
      <c r="AM104" s="474"/>
      <c r="AN104" s="474"/>
      <c r="AO104" s="474"/>
      <c r="AP104" s="474"/>
      <c r="AQ104" s="474"/>
      <c r="AR104" s="474"/>
      <c r="AS104" s="474"/>
      <c r="AT104" s="474"/>
      <c r="AU104" s="474"/>
      <c r="AV104" s="474"/>
      <c r="AW104" s="474"/>
      <c r="AX104" s="474"/>
      <c r="AY104" s="474"/>
      <c r="AZ104" s="474"/>
      <c r="BA104" s="474"/>
      <c r="BB104" s="474"/>
      <c r="BC104" s="474"/>
      <c r="BD104" s="474"/>
      <c r="BE104" s="474"/>
      <c r="BF104" s="474"/>
    </row>
    <row r="105" spans="1:58" s="475" customFormat="1" ht="40.200000000000003" customHeight="1">
      <c r="A105" s="473"/>
      <c r="B105" s="264" t="s">
        <v>49</v>
      </c>
      <c r="C105" s="22" t="s">
        <v>10</v>
      </c>
      <c r="D105" s="144" t="s">
        <v>428</v>
      </c>
      <c r="E105" s="22" t="s">
        <v>12</v>
      </c>
      <c r="F105" s="21" t="s">
        <v>427</v>
      </c>
      <c r="G105" s="173">
        <v>115</v>
      </c>
      <c r="H105" s="22" t="s">
        <v>15</v>
      </c>
      <c r="I105" s="19">
        <v>136.68</v>
      </c>
      <c r="J105" s="19">
        <f t="shared" si="16"/>
        <v>164.6994</v>
      </c>
      <c r="K105" s="228">
        <f t="shared" si="17"/>
        <v>18940.431</v>
      </c>
      <c r="L105" s="242">
        <f>K105/K103</f>
        <v>0.80229118134061261</v>
      </c>
      <c r="M105" s="258"/>
      <c r="N105" s="242"/>
      <c r="O105" s="474"/>
      <c r="P105" s="474"/>
      <c r="Q105" s="474"/>
      <c r="R105" s="474"/>
      <c r="S105" s="474"/>
      <c r="T105" s="474"/>
      <c r="U105" s="474"/>
      <c r="V105" s="474"/>
      <c r="W105" s="474"/>
      <c r="X105" s="474"/>
      <c r="Y105" s="474"/>
      <c r="Z105" s="474"/>
      <c r="AA105" s="474"/>
      <c r="AB105" s="474"/>
      <c r="AC105" s="474"/>
      <c r="AD105" s="474"/>
      <c r="AE105" s="474"/>
      <c r="AF105" s="474"/>
      <c r="AG105" s="474"/>
      <c r="AH105" s="474"/>
      <c r="AI105" s="474"/>
      <c r="AJ105" s="474"/>
      <c r="AK105" s="474"/>
      <c r="AL105" s="474"/>
      <c r="AM105" s="474"/>
      <c r="AN105" s="474"/>
      <c r="AO105" s="474"/>
      <c r="AP105" s="474"/>
      <c r="AQ105" s="474"/>
      <c r="AR105" s="474"/>
      <c r="AS105" s="474"/>
      <c r="AT105" s="474"/>
      <c r="AU105" s="474"/>
      <c r="AV105" s="474"/>
      <c r="AW105" s="474"/>
      <c r="AX105" s="474"/>
      <c r="AY105" s="474"/>
      <c r="AZ105" s="474"/>
      <c r="BA105" s="474"/>
      <c r="BB105" s="474"/>
      <c r="BC105" s="474"/>
      <c r="BD105" s="474"/>
      <c r="BE105" s="474"/>
      <c r="BF105" s="474"/>
    </row>
    <row r="106" spans="1:58" s="475" customFormat="1" ht="40.200000000000003" customHeight="1">
      <c r="A106" s="473"/>
      <c r="B106" s="264" t="s">
        <v>689</v>
      </c>
      <c r="C106" s="22" t="s">
        <v>10</v>
      </c>
      <c r="D106" s="180" t="s">
        <v>906</v>
      </c>
      <c r="E106" s="22" t="s">
        <v>10</v>
      </c>
      <c r="F106" s="21" t="s">
        <v>905</v>
      </c>
      <c r="G106" s="173">
        <v>12</v>
      </c>
      <c r="H106" s="22" t="s">
        <v>13</v>
      </c>
      <c r="I106" s="19">
        <v>46.37</v>
      </c>
      <c r="J106" s="19">
        <f t="shared" si="16"/>
        <v>55.87585</v>
      </c>
      <c r="K106" s="228">
        <f t="shared" si="17"/>
        <v>670.51019999999994</v>
      </c>
      <c r="L106" s="242">
        <f>K106/K103</f>
        <v>2.8401910202514945E-2</v>
      </c>
      <c r="M106" s="258"/>
      <c r="N106" s="242"/>
      <c r="O106" s="474"/>
      <c r="P106" s="474"/>
      <c r="Q106" s="474"/>
      <c r="R106" s="474"/>
      <c r="S106" s="474"/>
      <c r="T106" s="474"/>
      <c r="U106" s="474"/>
      <c r="V106" s="474"/>
      <c r="W106" s="474"/>
      <c r="X106" s="474"/>
      <c r="Y106" s="474"/>
      <c r="Z106" s="474"/>
      <c r="AA106" s="474"/>
      <c r="AB106" s="474"/>
      <c r="AC106" s="474"/>
      <c r="AD106" s="474"/>
      <c r="AE106" s="474"/>
      <c r="AF106" s="474"/>
      <c r="AG106" s="474"/>
      <c r="AH106" s="474"/>
      <c r="AI106" s="474"/>
      <c r="AJ106" s="474"/>
      <c r="AK106" s="474"/>
      <c r="AL106" s="474"/>
      <c r="AM106" s="474"/>
      <c r="AN106" s="474"/>
      <c r="AO106" s="474"/>
      <c r="AP106" s="474"/>
      <c r="AQ106" s="474"/>
      <c r="AR106" s="474"/>
      <c r="AS106" s="474"/>
      <c r="AT106" s="474"/>
      <c r="AU106" s="474"/>
      <c r="AV106" s="474"/>
      <c r="AW106" s="474"/>
      <c r="AX106" s="474"/>
      <c r="AY106" s="474"/>
      <c r="AZ106" s="474"/>
      <c r="BA106" s="474"/>
      <c r="BB106" s="474"/>
      <c r="BC106" s="474"/>
      <c r="BD106" s="474"/>
      <c r="BE106" s="474"/>
      <c r="BF106" s="474"/>
    </row>
    <row r="107" spans="1:58" s="475" customFormat="1" ht="40.200000000000003" customHeight="1">
      <c r="A107" s="473"/>
      <c r="B107" s="264" t="s">
        <v>50</v>
      </c>
      <c r="C107" s="22" t="s">
        <v>10</v>
      </c>
      <c r="D107" s="180">
        <v>94231</v>
      </c>
      <c r="E107" s="22"/>
      <c r="F107" s="21" t="s">
        <v>429</v>
      </c>
      <c r="G107" s="173">
        <v>60</v>
      </c>
      <c r="H107" s="22" t="s">
        <v>13</v>
      </c>
      <c r="I107" s="19">
        <v>37.1</v>
      </c>
      <c r="J107" s="19">
        <f t="shared" si="16"/>
        <v>44.705500000000001</v>
      </c>
      <c r="K107" s="228">
        <f t="shared" si="17"/>
        <v>2682.33</v>
      </c>
      <c r="L107" s="242">
        <f>K107/K103</f>
        <v>0.11361989093307144</v>
      </c>
      <c r="M107" s="258"/>
      <c r="N107" s="242"/>
      <c r="O107" s="474"/>
      <c r="P107" s="474"/>
      <c r="Q107" s="474"/>
      <c r="R107" s="474"/>
      <c r="S107" s="474"/>
      <c r="T107" s="474"/>
      <c r="U107" s="474"/>
      <c r="V107" s="474"/>
      <c r="W107" s="474"/>
      <c r="X107" s="474"/>
      <c r="Y107" s="474"/>
      <c r="Z107" s="474"/>
      <c r="AA107" s="474"/>
      <c r="AB107" s="474"/>
      <c r="AC107" s="474"/>
      <c r="AD107" s="474"/>
      <c r="AE107" s="474"/>
      <c r="AF107" s="474"/>
      <c r="AG107" s="474"/>
      <c r="AH107" s="474"/>
      <c r="AI107" s="474"/>
      <c r="AJ107" s="474"/>
      <c r="AK107" s="474"/>
      <c r="AL107" s="474"/>
      <c r="AM107" s="474"/>
      <c r="AN107" s="474"/>
      <c r="AO107" s="474"/>
      <c r="AP107" s="474"/>
      <c r="AQ107" s="474"/>
      <c r="AR107" s="474"/>
      <c r="AS107" s="474"/>
      <c r="AT107" s="474"/>
      <c r="AU107" s="474"/>
      <c r="AV107" s="474"/>
      <c r="AW107" s="474"/>
      <c r="AX107" s="474"/>
      <c r="AY107" s="474"/>
      <c r="AZ107" s="474"/>
      <c r="BA107" s="474"/>
      <c r="BB107" s="474"/>
      <c r="BC107" s="474"/>
      <c r="BD107" s="474"/>
      <c r="BE107" s="474"/>
      <c r="BF107" s="474"/>
    </row>
    <row r="108" spans="1:58" ht="25.2" customHeight="1" thickBot="1">
      <c r="B108" s="7"/>
      <c r="C108" s="7"/>
      <c r="D108" s="186"/>
      <c r="E108" s="7"/>
      <c r="F108" s="6"/>
      <c r="G108" s="175"/>
      <c r="H108" s="7"/>
      <c r="I108" s="176"/>
      <c r="J108" s="176"/>
      <c r="K108" s="230"/>
      <c r="L108" s="238"/>
    </row>
    <row r="109" spans="1:58" ht="25.2" customHeight="1" thickBot="1">
      <c r="B109" s="535" t="s">
        <v>448</v>
      </c>
      <c r="C109" s="536"/>
      <c r="D109" s="536"/>
      <c r="E109" s="536"/>
      <c r="F109" s="536"/>
      <c r="G109" s="536"/>
      <c r="H109" s="536"/>
      <c r="I109" s="536"/>
      <c r="J109" s="536"/>
      <c r="K109" s="232">
        <f>K103</f>
        <v>23607.926200000002</v>
      </c>
      <c r="L109" s="243"/>
      <c r="M109" s="260">
        <f>K103/K109</f>
        <v>1</v>
      </c>
      <c r="N109" s="311">
        <f>SUM(N103:N108)</f>
        <v>3.6324333002743035E-2</v>
      </c>
    </row>
    <row r="110" spans="1:58" ht="25.2" customHeight="1" thickBot="1">
      <c r="B110" s="2"/>
      <c r="C110" s="28"/>
      <c r="D110" s="168"/>
      <c r="E110" s="28"/>
      <c r="F110" s="190"/>
      <c r="G110" s="209"/>
      <c r="H110" s="2"/>
      <c r="I110" s="29"/>
      <c r="J110" s="212"/>
      <c r="K110" s="231"/>
    </row>
    <row r="111" spans="1:58" ht="25.2" customHeight="1" thickBot="1">
      <c r="B111" s="262">
        <v>6</v>
      </c>
      <c r="C111" s="540" t="s">
        <v>141</v>
      </c>
      <c r="D111" s="529"/>
      <c r="E111" s="529"/>
      <c r="F111" s="529"/>
      <c r="G111" s="529"/>
      <c r="H111" s="529"/>
      <c r="I111" s="529"/>
      <c r="J111" s="529"/>
      <c r="K111" s="529"/>
      <c r="L111" s="529"/>
      <c r="M111" s="529"/>
      <c r="N111" s="534"/>
    </row>
    <row r="112" spans="1:58" customFormat="1" ht="25.2" customHeight="1">
      <c r="B112" s="494"/>
      <c r="C112" s="495"/>
      <c r="D112" s="496"/>
      <c r="E112" s="495"/>
      <c r="F112" s="497"/>
      <c r="G112" s="498"/>
      <c r="H112" s="495"/>
      <c r="I112" s="495"/>
      <c r="J112" s="495"/>
      <c r="K112" s="495"/>
      <c r="L112" s="499"/>
      <c r="M112" s="496"/>
      <c r="N112" s="501"/>
    </row>
    <row r="113" spans="1:58" ht="25.2" customHeight="1">
      <c r="B113" s="26" t="s">
        <v>51</v>
      </c>
      <c r="C113" s="533" t="s">
        <v>76</v>
      </c>
      <c r="D113" s="533"/>
      <c r="E113" s="533"/>
      <c r="F113" s="533"/>
      <c r="G113" s="533"/>
      <c r="H113" s="533"/>
      <c r="I113" s="533"/>
      <c r="J113" s="533"/>
      <c r="K113" s="234">
        <f>SUM(K114:K117)</f>
        <v>523.30835000000002</v>
      </c>
      <c r="L113" s="240">
        <f>SUM(L114:L117)</f>
        <v>1</v>
      </c>
      <c r="M113" s="256">
        <f>K113/K206</f>
        <v>1.9366153934242267E-2</v>
      </c>
      <c r="N113" s="240">
        <f>K113/K398</f>
        <v>8.0518833409924846E-4</v>
      </c>
    </row>
    <row r="114" spans="1:58" s="475" customFormat="1" ht="25.2" customHeight="1">
      <c r="A114" s="473"/>
      <c r="B114" s="16" t="s">
        <v>690</v>
      </c>
      <c r="C114" s="31" t="s">
        <v>10</v>
      </c>
      <c r="D114" s="40">
        <v>72285</v>
      </c>
      <c r="E114" s="16" t="s">
        <v>10</v>
      </c>
      <c r="F114" s="502" t="s">
        <v>232</v>
      </c>
      <c r="G114" s="173">
        <v>3</v>
      </c>
      <c r="H114" s="16" t="s">
        <v>1</v>
      </c>
      <c r="I114" s="19">
        <v>88.15</v>
      </c>
      <c r="J114" s="19">
        <f>I114*$I$3+I114</f>
        <v>106.22075000000001</v>
      </c>
      <c r="K114" s="228">
        <f>G114*J114</f>
        <v>318.66225000000003</v>
      </c>
      <c r="L114" s="242">
        <f>K114/K113</f>
        <v>0.60893782795554474</v>
      </c>
      <c r="M114" s="258"/>
      <c r="N114" s="242"/>
      <c r="O114" s="474"/>
      <c r="P114" s="474"/>
      <c r="Q114" s="474"/>
      <c r="R114" s="474"/>
      <c r="S114" s="474"/>
      <c r="T114" s="474"/>
      <c r="U114" s="474"/>
      <c r="V114" s="474"/>
      <c r="W114" s="474"/>
      <c r="X114" s="474"/>
      <c r="Y114" s="474"/>
      <c r="Z114" s="474"/>
      <c r="AA114" s="474"/>
      <c r="AB114" s="474"/>
      <c r="AC114" s="474"/>
      <c r="AD114" s="474"/>
      <c r="AE114" s="474"/>
      <c r="AF114" s="474"/>
      <c r="AG114" s="474"/>
      <c r="AH114" s="474"/>
      <c r="AI114" s="474"/>
      <c r="AJ114" s="474"/>
      <c r="AK114" s="474"/>
      <c r="AL114" s="474"/>
      <c r="AM114" s="474"/>
      <c r="AN114" s="474"/>
      <c r="AO114" s="474"/>
      <c r="AP114" s="474"/>
      <c r="AQ114" s="474"/>
      <c r="AR114" s="474"/>
      <c r="AS114" s="474"/>
      <c r="AT114" s="474"/>
      <c r="AU114" s="474"/>
      <c r="AV114" s="474"/>
      <c r="AW114" s="474"/>
      <c r="AX114" s="474"/>
      <c r="AY114" s="474"/>
      <c r="AZ114" s="474"/>
      <c r="BA114" s="474"/>
      <c r="BB114" s="474"/>
      <c r="BC114" s="474"/>
      <c r="BD114" s="474"/>
      <c r="BE114" s="474"/>
      <c r="BF114" s="474"/>
    </row>
    <row r="115" spans="1:58" s="475" customFormat="1" ht="25.2" customHeight="1">
      <c r="A115" s="473"/>
      <c r="B115" s="16" t="s">
        <v>691</v>
      </c>
      <c r="C115" s="22" t="s">
        <v>10</v>
      </c>
      <c r="D115" s="45">
        <v>98102</v>
      </c>
      <c r="E115" s="16" t="s">
        <v>10</v>
      </c>
      <c r="F115" s="502" t="s">
        <v>77</v>
      </c>
      <c r="G115" s="173">
        <v>1</v>
      </c>
      <c r="H115" s="16" t="s">
        <v>1</v>
      </c>
      <c r="I115" s="19">
        <v>68.42</v>
      </c>
      <c r="J115" s="19">
        <f>I115*$I$3+I115</f>
        <v>82.446100000000001</v>
      </c>
      <c r="K115" s="228">
        <f>G115*J115</f>
        <v>82.446100000000001</v>
      </c>
      <c r="L115" s="242">
        <f>K115/K113</f>
        <v>0.15754783962457317</v>
      </c>
      <c r="M115" s="258"/>
      <c r="N115" s="242"/>
      <c r="O115" s="474"/>
      <c r="P115" s="474"/>
      <c r="Q115" s="474"/>
      <c r="R115" s="474"/>
      <c r="S115" s="474"/>
      <c r="T115" s="474"/>
      <c r="U115" s="474"/>
      <c r="V115" s="474"/>
      <c r="W115" s="474"/>
      <c r="X115" s="474"/>
      <c r="Y115" s="474"/>
      <c r="Z115" s="474"/>
      <c r="AA115" s="474"/>
      <c r="AB115" s="474"/>
      <c r="AC115" s="474"/>
      <c r="AD115" s="474"/>
      <c r="AE115" s="474"/>
      <c r="AF115" s="474"/>
      <c r="AG115" s="474"/>
      <c r="AH115" s="474"/>
      <c r="AI115" s="474"/>
      <c r="AJ115" s="474"/>
      <c r="AK115" s="474"/>
      <c r="AL115" s="474"/>
      <c r="AM115" s="474"/>
      <c r="AN115" s="474"/>
      <c r="AO115" s="474"/>
      <c r="AP115" s="474"/>
      <c r="AQ115" s="474"/>
      <c r="AR115" s="474"/>
      <c r="AS115" s="474"/>
      <c r="AT115" s="474"/>
      <c r="AU115" s="474"/>
      <c r="AV115" s="474"/>
      <c r="AW115" s="474"/>
      <c r="AX115" s="474"/>
      <c r="AY115" s="474"/>
      <c r="AZ115" s="474"/>
      <c r="BA115" s="474"/>
      <c r="BB115" s="474"/>
      <c r="BC115" s="474"/>
      <c r="BD115" s="474"/>
      <c r="BE115" s="474"/>
      <c r="BF115" s="474"/>
    </row>
    <row r="116" spans="1:58" s="475" customFormat="1" ht="25.2" customHeight="1">
      <c r="A116" s="473"/>
      <c r="B116" s="16" t="s">
        <v>692</v>
      </c>
      <c r="C116" s="22" t="s">
        <v>10</v>
      </c>
      <c r="D116" s="45">
        <v>89707</v>
      </c>
      <c r="E116" s="12"/>
      <c r="F116" s="502" t="s">
        <v>78</v>
      </c>
      <c r="G116" s="173">
        <v>4</v>
      </c>
      <c r="H116" s="16" t="s">
        <v>1</v>
      </c>
      <c r="I116" s="19">
        <v>23.58</v>
      </c>
      <c r="J116" s="19">
        <f>G116*$I$3+I116</f>
        <v>24.4</v>
      </c>
      <c r="K116" s="228">
        <f>G116*J116</f>
        <v>97.6</v>
      </c>
      <c r="L116" s="242">
        <f>K116/K113</f>
        <v>0.18650571885581416</v>
      </c>
      <c r="M116" s="258"/>
      <c r="N116" s="242"/>
      <c r="O116" s="474"/>
      <c r="P116" s="474"/>
      <c r="Q116" s="474"/>
      <c r="R116" s="474"/>
      <c r="S116" s="474"/>
      <c r="T116" s="474"/>
      <c r="U116" s="474"/>
      <c r="V116" s="474"/>
      <c r="W116" s="474"/>
      <c r="X116" s="474"/>
      <c r="Y116" s="474"/>
      <c r="Z116" s="474"/>
      <c r="AA116" s="474"/>
      <c r="AB116" s="474"/>
      <c r="AC116" s="474"/>
      <c r="AD116" s="474"/>
      <c r="AE116" s="474"/>
      <c r="AF116" s="474"/>
      <c r="AG116" s="474"/>
      <c r="AH116" s="474"/>
      <c r="AI116" s="474"/>
      <c r="AJ116" s="474"/>
      <c r="AK116" s="474"/>
      <c r="AL116" s="474"/>
      <c r="AM116" s="474"/>
      <c r="AN116" s="474"/>
      <c r="AO116" s="474"/>
      <c r="AP116" s="474"/>
      <c r="AQ116" s="474"/>
      <c r="AR116" s="474"/>
      <c r="AS116" s="474"/>
      <c r="AT116" s="474"/>
      <c r="AU116" s="474"/>
      <c r="AV116" s="474"/>
      <c r="AW116" s="474"/>
      <c r="AX116" s="474"/>
      <c r="AY116" s="474"/>
      <c r="AZ116" s="474"/>
      <c r="BA116" s="474"/>
      <c r="BB116" s="474"/>
      <c r="BC116" s="474"/>
      <c r="BD116" s="474"/>
      <c r="BE116" s="474"/>
      <c r="BF116" s="474"/>
    </row>
    <row r="117" spans="1:58" s="475" customFormat="1" ht="41.4" customHeight="1">
      <c r="A117" s="473"/>
      <c r="B117" s="16" t="s">
        <v>693</v>
      </c>
      <c r="C117" s="22" t="s">
        <v>10</v>
      </c>
      <c r="D117" s="45" t="s">
        <v>593</v>
      </c>
      <c r="E117" s="12"/>
      <c r="F117" s="503" t="s">
        <v>594</v>
      </c>
      <c r="G117" s="173">
        <v>4</v>
      </c>
      <c r="H117" s="16" t="s">
        <v>1</v>
      </c>
      <c r="I117" s="19">
        <v>5.33</v>
      </c>
      <c r="J117" s="19">
        <f>G117*$I$3+I117</f>
        <v>6.15</v>
      </c>
      <c r="K117" s="228">
        <f>G117*J117</f>
        <v>24.6</v>
      </c>
      <c r="L117" s="242">
        <f>K117/K113</f>
        <v>4.7008613564067915E-2</v>
      </c>
      <c r="M117" s="258"/>
      <c r="N117" s="242"/>
      <c r="O117" s="474"/>
      <c r="P117" s="474"/>
      <c r="Q117" s="474"/>
      <c r="R117" s="474"/>
      <c r="S117" s="474"/>
      <c r="T117" s="474"/>
      <c r="U117" s="474"/>
      <c r="V117" s="474"/>
      <c r="W117" s="474"/>
      <c r="X117" s="474"/>
      <c r="Y117" s="474"/>
      <c r="Z117" s="474"/>
      <c r="AA117" s="474"/>
      <c r="AB117" s="474"/>
      <c r="AC117" s="474"/>
      <c r="AD117" s="474"/>
      <c r="AE117" s="474"/>
      <c r="AF117" s="474"/>
      <c r="AG117" s="474"/>
      <c r="AH117" s="474"/>
      <c r="AI117" s="474"/>
      <c r="AJ117" s="474"/>
      <c r="AK117" s="474"/>
      <c r="AL117" s="474"/>
      <c r="AM117" s="474"/>
      <c r="AN117" s="474"/>
      <c r="AO117" s="474"/>
      <c r="AP117" s="474"/>
      <c r="AQ117" s="474"/>
      <c r="AR117" s="474"/>
      <c r="AS117" s="474"/>
      <c r="AT117" s="474"/>
      <c r="AU117" s="474"/>
      <c r="AV117" s="474"/>
      <c r="AW117" s="474"/>
      <c r="AX117" s="474"/>
      <c r="AY117" s="474"/>
      <c r="AZ117" s="474"/>
      <c r="BA117" s="474"/>
      <c r="BB117" s="474"/>
      <c r="BC117" s="474"/>
      <c r="BD117" s="474"/>
      <c r="BE117" s="474"/>
      <c r="BF117" s="474"/>
    </row>
    <row r="118" spans="1:58" customFormat="1" ht="25.2" customHeight="1">
      <c r="B118" s="494"/>
      <c r="C118" s="495"/>
      <c r="D118" s="496"/>
      <c r="E118" s="495"/>
      <c r="F118" s="497"/>
      <c r="G118" s="498"/>
      <c r="H118" s="495"/>
      <c r="I118" s="495"/>
      <c r="J118" s="495"/>
      <c r="K118" s="495"/>
      <c r="L118" s="499"/>
      <c r="M118" s="496"/>
      <c r="N118" s="501"/>
    </row>
    <row r="119" spans="1:58" s="13" customFormat="1" ht="25.2" customHeight="1">
      <c r="A119" s="14"/>
      <c r="B119" s="26" t="s">
        <v>52</v>
      </c>
      <c r="C119" s="533" t="s">
        <v>124</v>
      </c>
      <c r="D119" s="533"/>
      <c r="E119" s="533"/>
      <c r="F119" s="533"/>
      <c r="G119" s="533"/>
      <c r="H119" s="533"/>
      <c r="I119" s="533"/>
      <c r="J119" s="533"/>
      <c r="K119" s="234">
        <f>SUM(K120:K134)</f>
        <v>1148.2685999999999</v>
      </c>
      <c r="L119" s="240">
        <f>SUM(L120:L134)</f>
        <v>1.0000000000000002</v>
      </c>
      <c r="M119" s="256">
        <f>K119/K206</f>
        <v>4.2494155626327877E-2</v>
      </c>
      <c r="N119" s="240">
        <f>K119/K398</f>
        <v>1.7667833527450424E-3</v>
      </c>
    </row>
    <row r="120" spans="1:58" s="475" customFormat="1" ht="25.2" customHeight="1">
      <c r="A120" s="473"/>
      <c r="B120" s="16" t="s">
        <v>694</v>
      </c>
      <c r="C120" s="22" t="s">
        <v>10</v>
      </c>
      <c r="D120" s="45">
        <v>89383</v>
      </c>
      <c r="E120" s="12"/>
      <c r="F120" s="502" t="s">
        <v>482</v>
      </c>
      <c r="G120" s="504">
        <v>18</v>
      </c>
      <c r="H120" s="16" t="s">
        <v>1</v>
      </c>
      <c r="I120" s="19">
        <v>5.41</v>
      </c>
      <c r="J120" s="19">
        <f t="shared" ref="J120:J134" si="18">I120*$I$3+I120</f>
        <v>6.51905</v>
      </c>
      <c r="K120" s="228">
        <f t="shared" ref="K120:K134" si="19">G120*J120</f>
        <v>117.3429</v>
      </c>
      <c r="L120" s="242">
        <f>K120/K119</f>
        <v>0.1021911598035512</v>
      </c>
      <c r="M120" s="258"/>
      <c r="N120" s="242"/>
      <c r="O120" s="474"/>
      <c r="P120" s="474"/>
      <c r="Q120" s="474"/>
      <c r="R120" s="474"/>
      <c r="S120" s="474"/>
      <c r="T120" s="474"/>
      <c r="U120" s="474"/>
      <c r="V120" s="474"/>
      <c r="W120" s="474"/>
      <c r="X120" s="474"/>
      <c r="Y120" s="474"/>
      <c r="Z120" s="474"/>
      <c r="AA120" s="474"/>
      <c r="AB120" s="474"/>
      <c r="AC120" s="474"/>
      <c r="AD120" s="474"/>
      <c r="AE120" s="474"/>
      <c r="AF120" s="474"/>
      <c r="AG120" s="474"/>
      <c r="AH120" s="474"/>
      <c r="AI120" s="474"/>
      <c r="AJ120" s="474"/>
      <c r="AK120" s="474"/>
      <c r="AL120" s="474"/>
      <c r="AM120" s="474"/>
      <c r="AN120" s="474"/>
      <c r="AO120" s="474"/>
      <c r="AP120" s="474"/>
      <c r="AQ120" s="474"/>
      <c r="AR120" s="474"/>
      <c r="AS120" s="474"/>
      <c r="AT120" s="474"/>
      <c r="AU120" s="474"/>
      <c r="AV120" s="474"/>
      <c r="AW120" s="474"/>
      <c r="AX120" s="474"/>
      <c r="AY120" s="474"/>
      <c r="AZ120" s="474"/>
      <c r="BA120" s="474"/>
      <c r="BB120" s="474"/>
      <c r="BC120" s="474"/>
      <c r="BD120" s="474"/>
      <c r="BE120" s="474"/>
      <c r="BF120" s="474"/>
    </row>
    <row r="121" spans="1:58" s="475" customFormat="1" ht="25.2" customHeight="1">
      <c r="A121" s="473"/>
      <c r="B121" s="16" t="s">
        <v>695</v>
      </c>
      <c r="C121" s="22" t="s">
        <v>10</v>
      </c>
      <c r="D121" s="45">
        <v>89553</v>
      </c>
      <c r="E121" s="12"/>
      <c r="F121" s="479" t="s">
        <v>481</v>
      </c>
      <c r="G121" s="504">
        <v>4</v>
      </c>
      <c r="H121" s="16" t="s">
        <v>1</v>
      </c>
      <c r="I121" s="19">
        <v>4.41</v>
      </c>
      <c r="J121" s="19">
        <f t="shared" si="18"/>
        <v>5.3140499999999999</v>
      </c>
      <c r="K121" s="228">
        <f t="shared" si="19"/>
        <v>21.2562</v>
      </c>
      <c r="L121" s="242">
        <f>K121/K119</f>
        <v>1.8511522478277295E-2</v>
      </c>
      <c r="M121" s="258"/>
      <c r="N121" s="242"/>
      <c r="O121" s="474"/>
      <c r="P121" s="474"/>
      <c r="Q121" s="474"/>
      <c r="R121" s="474"/>
      <c r="S121" s="474"/>
      <c r="T121" s="474"/>
      <c r="U121" s="474"/>
      <c r="V121" s="474"/>
      <c r="W121" s="474"/>
      <c r="X121" s="474"/>
      <c r="Y121" s="474"/>
      <c r="Z121" s="474"/>
      <c r="AA121" s="474"/>
      <c r="AB121" s="474"/>
      <c r="AC121" s="474"/>
      <c r="AD121" s="474"/>
      <c r="AE121" s="474"/>
      <c r="AF121" s="474"/>
      <c r="AG121" s="474"/>
      <c r="AH121" s="474"/>
      <c r="AI121" s="474"/>
      <c r="AJ121" s="474"/>
      <c r="AK121" s="474"/>
      <c r="AL121" s="474"/>
      <c r="AM121" s="474"/>
      <c r="AN121" s="474"/>
      <c r="AO121" s="474"/>
      <c r="AP121" s="474"/>
      <c r="AQ121" s="474"/>
      <c r="AR121" s="474"/>
      <c r="AS121" s="474"/>
      <c r="AT121" s="474"/>
      <c r="AU121" s="474"/>
      <c r="AV121" s="474"/>
      <c r="AW121" s="474"/>
      <c r="AX121" s="474"/>
      <c r="AY121" s="474"/>
      <c r="AZ121" s="474"/>
      <c r="BA121" s="474"/>
      <c r="BB121" s="474"/>
      <c r="BC121" s="474"/>
      <c r="BD121" s="474"/>
      <c r="BE121" s="474"/>
      <c r="BF121" s="474"/>
    </row>
    <row r="122" spans="1:58" s="475" customFormat="1" ht="25.2" customHeight="1">
      <c r="A122" s="473"/>
      <c r="B122" s="16" t="s">
        <v>696</v>
      </c>
      <c r="C122" s="22" t="s">
        <v>10</v>
      </c>
      <c r="D122" s="45">
        <v>89436</v>
      </c>
      <c r="E122" s="12"/>
      <c r="F122" s="479" t="s">
        <v>480</v>
      </c>
      <c r="G122" s="504">
        <v>6</v>
      </c>
      <c r="H122" s="16" t="s">
        <v>1</v>
      </c>
      <c r="I122" s="19">
        <v>5.07</v>
      </c>
      <c r="J122" s="19">
        <f t="shared" si="18"/>
        <v>6.1093500000000001</v>
      </c>
      <c r="K122" s="228">
        <f t="shared" si="19"/>
        <v>36.656100000000002</v>
      </c>
      <c r="L122" s="242">
        <f>K122/K119</f>
        <v>3.1922931620702685E-2</v>
      </c>
      <c r="M122" s="258"/>
      <c r="N122" s="242"/>
      <c r="O122" s="474"/>
      <c r="P122" s="474"/>
      <c r="Q122" s="474"/>
      <c r="R122" s="474"/>
      <c r="S122" s="474"/>
      <c r="T122" s="474"/>
      <c r="U122" s="474"/>
      <c r="V122" s="474"/>
      <c r="W122" s="474"/>
      <c r="X122" s="474"/>
      <c r="Y122" s="474"/>
      <c r="Z122" s="474"/>
      <c r="AA122" s="474"/>
      <c r="AB122" s="474"/>
      <c r="AC122" s="474"/>
      <c r="AD122" s="474"/>
      <c r="AE122" s="474"/>
      <c r="AF122" s="474"/>
      <c r="AG122" s="474"/>
      <c r="AH122" s="474"/>
      <c r="AI122" s="474"/>
      <c r="AJ122" s="474"/>
      <c r="AK122" s="474"/>
      <c r="AL122" s="474"/>
      <c r="AM122" s="474"/>
      <c r="AN122" s="474"/>
      <c r="AO122" s="474"/>
      <c r="AP122" s="474"/>
      <c r="AQ122" s="474"/>
      <c r="AR122" s="474"/>
      <c r="AS122" s="474"/>
      <c r="AT122" s="474"/>
      <c r="AU122" s="474"/>
      <c r="AV122" s="474"/>
      <c r="AW122" s="474"/>
      <c r="AX122" s="474"/>
      <c r="AY122" s="474"/>
      <c r="AZ122" s="474"/>
      <c r="BA122" s="474"/>
      <c r="BB122" s="474"/>
      <c r="BC122" s="474"/>
      <c r="BD122" s="474"/>
      <c r="BE122" s="474"/>
      <c r="BF122" s="474"/>
    </row>
    <row r="123" spans="1:58" s="475" customFormat="1" ht="25.2" customHeight="1">
      <c r="A123" s="473"/>
      <c r="B123" s="16" t="s">
        <v>697</v>
      </c>
      <c r="C123" s="22" t="s">
        <v>10</v>
      </c>
      <c r="D123" s="45" t="s">
        <v>479</v>
      </c>
      <c r="E123" s="12"/>
      <c r="F123" s="316" t="s">
        <v>483</v>
      </c>
      <c r="G123" s="318">
        <v>2</v>
      </c>
      <c r="H123" s="16" t="s">
        <v>1</v>
      </c>
      <c r="I123" s="19">
        <v>5.93</v>
      </c>
      <c r="J123" s="19">
        <f t="shared" si="18"/>
        <v>7.1456499999999998</v>
      </c>
      <c r="K123" s="228">
        <f t="shared" si="19"/>
        <v>14.2913</v>
      </c>
      <c r="L123" s="242">
        <f>K123/K119</f>
        <v>1.244595558913655E-2</v>
      </c>
      <c r="M123" s="258"/>
      <c r="N123" s="242"/>
      <c r="O123" s="474"/>
      <c r="P123" s="474"/>
      <c r="Q123" s="474"/>
      <c r="R123" s="474"/>
      <c r="S123" s="474"/>
      <c r="T123" s="474"/>
      <c r="U123" s="474"/>
      <c r="V123" s="474"/>
      <c r="W123" s="474"/>
      <c r="X123" s="474"/>
      <c r="Y123" s="474"/>
      <c r="Z123" s="474"/>
      <c r="AA123" s="474"/>
      <c r="AB123" s="474"/>
      <c r="AC123" s="474"/>
      <c r="AD123" s="474"/>
      <c r="AE123" s="474"/>
      <c r="AF123" s="474"/>
      <c r="AG123" s="474"/>
      <c r="AH123" s="474"/>
      <c r="AI123" s="474"/>
      <c r="AJ123" s="474"/>
      <c r="AK123" s="474"/>
      <c r="AL123" s="474"/>
      <c r="AM123" s="474"/>
      <c r="AN123" s="474"/>
      <c r="AO123" s="474"/>
      <c r="AP123" s="474"/>
      <c r="AQ123" s="474"/>
      <c r="AR123" s="474"/>
      <c r="AS123" s="474"/>
      <c r="AT123" s="474"/>
      <c r="AU123" s="474"/>
      <c r="AV123" s="474"/>
      <c r="AW123" s="474"/>
      <c r="AX123" s="474"/>
      <c r="AY123" s="474"/>
      <c r="AZ123" s="474"/>
      <c r="BA123" s="474"/>
      <c r="BB123" s="474"/>
      <c r="BC123" s="474"/>
      <c r="BD123" s="474"/>
      <c r="BE123" s="474"/>
      <c r="BF123" s="474"/>
    </row>
    <row r="124" spans="1:58" s="475" customFormat="1" ht="25.2" customHeight="1">
      <c r="A124" s="473"/>
      <c r="B124" s="16" t="s">
        <v>698</v>
      </c>
      <c r="C124" s="22" t="s">
        <v>10</v>
      </c>
      <c r="D124" s="45">
        <v>89384</v>
      </c>
      <c r="E124" s="12"/>
      <c r="F124" s="316" t="s">
        <v>79</v>
      </c>
      <c r="G124" s="318">
        <v>3</v>
      </c>
      <c r="H124" s="16" t="s">
        <v>1</v>
      </c>
      <c r="I124" s="19">
        <v>9.35</v>
      </c>
      <c r="J124" s="19">
        <f t="shared" si="18"/>
        <v>11.26675</v>
      </c>
      <c r="K124" s="228">
        <f t="shared" si="19"/>
        <v>33.800249999999998</v>
      </c>
      <c r="L124" s="242">
        <f>K124/K119</f>
        <v>2.943583931494774E-2</v>
      </c>
      <c r="M124" s="258"/>
      <c r="N124" s="242"/>
      <c r="O124" s="474"/>
      <c r="P124" s="474"/>
      <c r="Q124" s="474"/>
      <c r="R124" s="474"/>
      <c r="S124" s="474"/>
      <c r="T124" s="474"/>
      <c r="U124" s="474"/>
      <c r="V124" s="474"/>
      <c r="W124" s="474"/>
      <c r="X124" s="474"/>
      <c r="Y124" s="474"/>
      <c r="Z124" s="474"/>
      <c r="AA124" s="474"/>
      <c r="AB124" s="474"/>
      <c r="AC124" s="474"/>
      <c r="AD124" s="474"/>
      <c r="AE124" s="474"/>
      <c r="AF124" s="474"/>
      <c r="AG124" s="474"/>
      <c r="AH124" s="474"/>
      <c r="AI124" s="474"/>
      <c r="AJ124" s="474"/>
      <c r="AK124" s="474"/>
      <c r="AL124" s="474"/>
      <c r="AM124" s="474"/>
      <c r="AN124" s="474"/>
      <c r="AO124" s="474"/>
      <c r="AP124" s="474"/>
      <c r="AQ124" s="474"/>
      <c r="AR124" s="474"/>
      <c r="AS124" s="474"/>
      <c r="AT124" s="474"/>
      <c r="AU124" s="474"/>
      <c r="AV124" s="474"/>
      <c r="AW124" s="474"/>
      <c r="AX124" s="474"/>
      <c r="AY124" s="474"/>
      <c r="AZ124" s="474"/>
      <c r="BA124" s="474"/>
      <c r="BB124" s="474"/>
      <c r="BC124" s="474"/>
      <c r="BD124" s="474"/>
      <c r="BE124" s="474"/>
      <c r="BF124" s="474"/>
    </row>
    <row r="125" spans="1:58" s="475" customFormat="1" ht="25.2" customHeight="1">
      <c r="A125" s="473"/>
      <c r="B125" s="16" t="s">
        <v>699</v>
      </c>
      <c r="C125" s="22" t="s">
        <v>10</v>
      </c>
      <c r="D125" s="45">
        <v>89408</v>
      </c>
      <c r="E125" s="12"/>
      <c r="F125" s="316" t="s">
        <v>80</v>
      </c>
      <c r="G125" s="318">
        <v>50</v>
      </c>
      <c r="H125" s="16" t="s">
        <v>1</v>
      </c>
      <c r="I125" s="19">
        <v>4.88</v>
      </c>
      <c r="J125" s="19">
        <f t="shared" si="18"/>
        <v>5.8803999999999998</v>
      </c>
      <c r="K125" s="228">
        <f t="shared" si="19"/>
        <v>294.02</v>
      </c>
      <c r="L125" s="242">
        <f>K125/K119</f>
        <v>0.25605507282877893</v>
      </c>
      <c r="M125" s="258"/>
      <c r="N125" s="242"/>
      <c r="O125" s="474"/>
      <c r="P125" s="474"/>
      <c r="Q125" s="474"/>
      <c r="R125" s="474"/>
      <c r="S125" s="474"/>
      <c r="T125" s="474"/>
      <c r="U125" s="474"/>
      <c r="V125" s="474"/>
      <c r="W125" s="474"/>
      <c r="X125" s="474"/>
      <c r="Y125" s="474"/>
      <c r="Z125" s="474"/>
      <c r="AA125" s="474"/>
      <c r="AB125" s="474"/>
      <c r="AC125" s="474"/>
      <c r="AD125" s="474"/>
      <c r="AE125" s="474"/>
      <c r="AF125" s="474"/>
      <c r="AG125" s="474"/>
      <c r="AH125" s="474"/>
      <c r="AI125" s="474"/>
      <c r="AJ125" s="474"/>
      <c r="AK125" s="474"/>
      <c r="AL125" s="474"/>
      <c r="AM125" s="474"/>
      <c r="AN125" s="474"/>
      <c r="AO125" s="474"/>
      <c r="AP125" s="474"/>
      <c r="AQ125" s="474"/>
      <c r="AR125" s="474"/>
      <c r="AS125" s="474"/>
      <c r="AT125" s="474"/>
      <c r="AU125" s="474"/>
      <c r="AV125" s="474"/>
      <c r="AW125" s="474"/>
      <c r="AX125" s="474"/>
      <c r="AY125" s="474"/>
      <c r="AZ125" s="474"/>
      <c r="BA125" s="474"/>
      <c r="BB125" s="474"/>
      <c r="BC125" s="474"/>
      <c r="BD125" s="474"/>
      <c r="BE125" s="474"/>
      <c r="BF125" s="474"/>
    </row>
    <row r="126" spans="1:58" s="475" customFormat="1" ht="25.2" customHeight="1">
      <c r="A126" s="473"/>
      <c r="B126" s="16" t="s">
        <v>700</v>
      </c>
      <c r="C126" s="22" t="s">
        <v>10</v>
      </c>
      <c r="D126" s="45">
        <v>89413</v>
      </c>
      <c r="E126" s="12"/>
      <c r="F126" s="316" t="s">
        <v>81</v>
      </c>
      <c r="G126" s="318">
        <v>15</v>
      </c>
      <c r="H126" s="16" t="s">
        <v>1</v>
      </c>
      <c r="I126" s="19">
        <v>6.76</v>
      </c>
      <c r="J126" s="19">
        <f t="shared" si="18"/>
        <v>8.1457999999999995</v>
      </c>
      <c r="K126" s="228">
        <f t="shared" si="19"/>
        <v>122.187</v>
      </c>
      <c r="L126" s="242">
        <f>K126/K119</f>
        <v>0.10640977206900895</v>
      </c>
      <c r="M126" s="258"/>
      <c r="N126" s="242"/>
      <c r="O126" s="474"/>
      <c r="P126" s="474"/>
      <c r="Q126" s="474"/>
      <c r="R126" s="474"/>
      <c r="S126" s="474"/>
      <c r="T126" s="474"/>
      <c r="U126" s="474"/>
      <c r="V126" s="474"/>
      <c r="W126" s="474"/>
      <c r="X126" s="474"/>
      <c r="Y126" s="474"/>
      <c r="Z126" s="474"/>
      <c r="AA126" s="474"/>
      <c r="AB126" s="474"/>
      <c r="AC126" s="474"/>
      <c r="AD126" s="474"/>
      <c r="AE126" s="474"/>
      <c r="AF126" s="474"/>
      <c r="AG126" s="474"/>
      <c r="AH126" s="474"/>
      <c r="AI126" s="474"/>
      <c r="AJ126" s="474"/>
      <c r="AK126" s="474"/>
      <c r="AL126" s="474"/>
      <c r="AM126" s="474"/>
      <c r="AN126" s="474"/>
      <c r="AO126" s="474"/>
      <c r="AP126" s="474"/>
      <c r="AQ126" s="474"/>
      <c r="AR126" s="474"/>
      <c r="AS126" s="474"/>
      <c r="AT126" s="474"/>
      <c r="AU126" s="474"/>
      <c r="AV126" s="474"/>
      <c r="AW126" s="474"/>
      <c r="AX126" s="474"/>
      <c r="AY126" s="474"/>
      <c r="AZ126" s="474"/>
      <c r="BA126" s="474"/>
      <c r="BB126" s="474"/>
      <c r="BC126" s="474"/>
      <c r="BD126" s="474"/>
      <c r="BE126" s="474"/>
      <c r="BF126" s="474"/>
    </row>
    <row r="127" spans="1:58" s="475" customFormat="1" ht="25.2" customHeight="1">
      <c r="A127" s="473"/>
      <c r="B127" s="16" t="s">
        <v>701</v>
      </c>
      <c r="C127" s="22" t="s">
        <v>10</v>
      </c>
      <c r="D127" s="45">
        <v>89497</v>
      </c>
      <c r="E127" s="12"/>
      <c r="F127" s="316" t="s">
        <v>82</v>
      </c>
      <c r="G127" s="318">
        <v>5</v>
      </c>
      <c r="H127" s="16" t="s">
        <v>1</v>
      </c>
      <c r="I127" s="19">
        <v>8.27</v>
      </c>
      <c r="J127" s="19">
        <f t="shared" si="18"/>
        <v>9.965349999999999</v>
      </c>
      <c r="K127" s="228">
        <f t="shared" si="19"/>
        <v>49.826749999999997</v>
      </c>
      <c r="L127" s="242">
        <f>K127/K119</f>
        <v>4.3392939596188562E-2</v>
      </c>
      <c r="M127" s="258"/>
      <c r="N127" s="242"/>
      <c r="O127" s="474"/>
      <c r="P127" s="474"/>
      <c r="Q127" s="474"/>
      <c r="R127" s="474"/>
      <c r="S127" s="474"/>
      <c r="T127" s="474"/>
      <c r="U127" s="474"/>
      <c r="V127" s="474"/>
      <c r="W127" s="474"/>
      <c r="X127" s="474"/>
      <c r="Y127" s="474"/>
      <c r="Z127" s="474"/>
      <c r="AA127" s="474"/>
      <c r="AB127" s="474"/>
      <c r="AC127" s="474"/>
      <c r="AD127" s="474"/>
      <c r="AE127" s="474"/>
      <c r="AF127" s="474"/>
      <c r="AG127" s="474"/>
      <c r="AH127" s="474"/>
      <c r="AI127" s="474"/>
      <c r="AJ127" s="474"/>
      <c r="AK127" s="474"/>
      <c r="AL127" s="474"/>
      <c r="AM127" s="474"/>
      <c r="AN127" s="474"/>
      <c r="AO127" s="474"/>
      <c r="AP127" s="474"/>
      <c r="AQ127" s="474"/>
      <c r="AR127" s="474"/>
      <c r="AS127" s="474"/>
      <c r="AT127" s="474"/>
      <c r="AU127" s="474"/>
      <c r="AV127" s="474"/>
      <c r="AW127" s="474"/>
      <c r="AX127" s="474"/>
      <c r="AY127" s="474"/>
      <c r="AZ127" s="474"/>
      <c r="BA127" s="474"/>
      <c r="BB127" s="474"/>
      <c r="BC127" s="474"/>
      <c r="BD127" s="474"/>
      <c r="BE127" s="474"/>
      <c r="BF127" s="474"/>
    </row>
    <row r="128" spans="1:58" s="475" customFormat="1" ht="25.2" customHeight="1">
      <c r="A128" s="473"/>
      <c r="B128" s="16" t="s">
        <v>702</v>
      </c>
      <c r="C128" s="22" t="s">
        <v>10</v>
      </c>
      <c r="D128" s="45">
        <v>90373</v>
      </c>
      <c r="E128" s="12"/>
      <c r="F128" s="316" t="s">
        <v>83</v>
      </c>
      <c r="G128" s="318">
        <v>11</v>
      </c>
      <c r="H128" s="16" t="s">
        <v>1</v>
      </c>
      <c r="I128" s="19">
        <v>10.85</v>
      </c>
      <c r="J128" s="19">
        <f t="shared" si="18"/>
        <v>13.074249999999999</v>
      </c>
      <c r="K128" s="228">
        <f t="shared" si="19"/>
        <v>143.81674999999998</v>
      </c>
      <c r="L128" s="242">
        <f>K128/K119</f>
        <v>0.12524661041850313</v>
      </c>
      <c r="M128" s="258"/>
      <c r="N128" s="242"/>
      <c r="O128" s="474"/>
      <c r="P128" s="474"/>
      <c r="Q128" s="474"/>
      <c r="R128" s="474"/>
      <c r="S128" s="474"/>
      <c r="T128" s="474"/>
      <c r="U128" s="474"/>
      <c r="V128" s="474"/>
      <c r="W128" s="474"/>
      <c r="X128" s="474"/>
      <c r="Y128" s="474"/>
      <c r="Z128" s="474"/>
      <c r="AA128" s="474"/>
      <c r="AB128" s="474"/>
      <c r="AC128" s="474"/>
      <c r="AD128" s="474"/>
      <c r="AE128" s="474"/>
      <c r="AF128" s="474"/>
      <c r="AG128" s="474"/>
      <c r="AH128" s="474"/>
      <c r="AI128" s="474"/>
      <c r="AJ128" s="474"/>
      <c r="AK128" s="474"/>
      <c r="AL128" s="474"/>
      <c r="AM128" s="474"/>
      <c r="AN128" s="474"/>
      <c r="AO128" s="474"/>
      <c r="AP128" s="474"/>
      <c r="AQ128" s="474"/>
      <c r="AR128" s="474"/>
      <c r="AS128" s="474"/>
      <c r="AT128" s="474"/>
      <c r="AU128" s="474"/>
      <c r="AV128" s="474"/>
      <c r="AW128" s="474"/>
      <c r="AX128" s="474"/>
      <c r="AY128" s="474"/>
      <c r="AZ128" s="474"/>
      <c r="BA128" s="474"/>
      <c r="BB128" s="474"/>
      <c r="BC128" s="474"/>
      <c r="BD128" s="474"/>
      <c r="BE128" s="474"/>
      <c r="BF128" s="474"/>
    </row>
    <row r="129" spans="1:58" s="475" customFormat="1" ht="25.2" customHeight="1">
      <c r="A129" s="473"/>
      <c r="B129" s="16" t="s">
        <v>703</v>
      </c>
      <c r="C129" s="22" t="s">
        <v>10</v>
      </c>
      <c r="D129" s="45">
        <v>89366</v>
      </c>
      <c r="E129" s="12"/>
      <c r="F129" s="316" t="s">
        <v>84</v>
      </c>
      <c r="G129" s="318">
        <v>5</v>
      </c>
      <c r="H129" s="16" t="s">
        <v>1</v>
      </c>
      <c r="I129" s="19">
        <v>11.59</v>
      </c>
      <c r="J129" s="19">
        <f t="shared" si="18"/>
        <v>13.965949999999999</v>
      </c>
      <c r="K129" s="228">
        <f t="shared" si="19"/>
        <v>69.82974999999999</v>
      </c>
      <c r="L129" s="242">
        <f>K129/K119</f>
        <v>6.0813079796834986E-2</v>
      </c>
      <c r="M129" s="258"/>
      <c r="N129" s="242"/>
      <c r="O129" s="474"/>
      <c r="P129" s="474"/>
      <c r="Q129" s="474"/>
      <c r="R129" s="474"/>
      <c r="S129" s="474"/>
      <c r="T129" s="474"/>
      <c r="U129" s="474"/>
      <c r="V129" s="474"/>
      <c r="W129" s="474"/>
      <c r="X129" s="474"/>
      <c r="Y129" s="474"/>
      <c r="Z129" s="474"/>
      <c r="AA129" s="474"/>
      <c r="AB129" s="474"/>
      <c r="AC129" s="474"/>
      <c r="AD129" s="474"/>
      <c r="AE129" s="474"/>
      <c r="AF129" s="474"/>
      <c r="AG129" s="474"/>
      <c r="AH129" s="474"/>
      <c r="AI129" s="474"/>
      <c r="AJ129" s="474"/>
      <c r="AK129" s="474"/>
      <c r="AL129" s="474"/>
      <c r="AM129" s="474"/>
      <c r="AN129" s="474"/>
      <c r="AO129" s="474"/>
      <c r="AP129" s="474"/>
      <c r="AQ129" s="474"/>
      <c r="AR129" s="474"/>
      <c r="AS129" s="474"/>
      <c r="AT129" s="474"/>
      <c r="AU129" s="474"/>
      <c r="AV129" s="474"/>
      <c r="AW129" s="474"/>
      <c r="AX129" s="474"/>
      <c r="AY129" s="474"/>
      <c r="AZ129" s="474"/>
      <c r="BA129" s="474"/>
      <c r="BB129" s="474"/>
      <c r="BC129" s="474"/>
      <c r="BD129" s="474"/>
      <c r="BE129" s="474"/>
      <c r="BF129" s="474"/>
    </row>
    <row r="130" spans="1:58" s="475" customFormat="1" ht="25.2" customHeight="1">
      <c r="A130" s="473"/>
      <c r="B130" s="16" t="s">
        <v>704</v>
      </c>
      <c r="C130" s="22" t="s">
        <v>10</v>
      </c>
      <c r="D130" s="45">
        <v>89981</v>
      </c>
      <c r="E130" s="12"/>
      <c r="F130" s="316" t="s">
        <v>85</v>
      </c>
      <c r="G130" s="318">
        <v>2</v>
      </c>
      <c r="H130" s="16" t="s">
        <v>1</v>
      </c>
      <c r="I130" s="19">
        <v>14.96</v>
      </c>
      <c r="J130" s="19">
        <f t="shared" si="18"/>
        <v>18.026800000000001</v>
      </c>
      <c r="K130" s="228">
        <f t="shared" si="19"/>
        <v>36.053600000000003</v>
      </c>
      <c r="L130" s="242">
        <f>K130/K119</f>
        <v>3.1398228602610927E-2</v>
      </c>
      <c r="M130" s="258"/>
      <c r="N130" s="242"/>
      <c r="O130" s="474"/>
      <c r="P130" s="474"/>
      <c r="Q130" s="474"/>
      <c r="R130" s="474"/>
      <c r="S130" s="474"/>
      <c r="T130" s="474"/>
      <c r="U130" s="474"/>
      <c r="V130" s="474"/>
      <c r="W130" s="474"/>
      <c r="X130" s="474"/>
      <c r="Y130" s="474"/>
      <c r="Z130" s="474"/>
      <c r="AA130" s="474"/>
      <c r="AB130" s="474"/>
      <c r="AC130" s="474"/>
      <c r="AD130" s="474"/>
      <c r="AE130" s="474"/>
      <c r="AF130" s="474"/>
      <c r="AG130" s="474"/>
      <c r="AH130" s="474"/>
      <c r="AI130" s="474"/>
      <c r="AJ130" s="474"/>
      <c r="AK130" s="474"/>
      <c r="AL130" s="474"/>
      <c r="AM130" s="474"/>
      <c r="AN130" s="474"/>
      <c r="AO130" s="474"/>
      <c r="AP130" s="474"/>
      <c r="AQ130" s="474"/>
      <c r="AR130" s="474"/>
      <c r="AS130" s="474"/>
      <c r="AT130" s="474"/>
      <c r="AU130" s="474"/>
      <c r="AV130" s="474"/>
      <c r="AW130" s="474"/>
      <c r="AX130" s="474"/>
      <c r="AY130" s="474"/>
      <c r="AZ130" s="474"/>
      <c r="BA130" s="474"/>
      <c r="BB130" s="474"/>
      <c r="BC130" s="474"/>
      <c r="BD130" s="474"/>
      <c r="BE130" s="474"/>
      <c r="BF130" s="474"/>
    </row>
    <row r="131" spans="1:58" s="475" customFormat="1" ht="25.2" customHeight="1">
      <c r="A131" s="473"/>
      <c r="B131" s="16" t="s">
        <v>705</v>
      </c>
      <c r="C131" s="22" t="s">
        <v>10</v>
      </c>
      <c r="D131" s="45">
        <v>89395</v>
      </c>
      <c r="E131" s="12"/>
      <c r="F131" s="316" t="s">
        <v>86</v>
      </c>
      <c r="G131" s="318">
        <v>6</v>
      </c>
      <c r="H131" s="16" t="s">
        <v>1</v>
      </c>
      <c r="I131" s="19">
        <v>10.119999999999999</v>
      </c>
      <c r="J131" s="19">
        <f t="shared" si="18"/>
        <v>12.194599999999999</v>
      </c>
      <c r="K131" s="228">
        <f t="shared" si="19"/>
        <v>73.167599999999993</v>
      </c>
      <c r="L131" s="242">
        <f>K131/K119</f>
        <v>6.3719934517063342E-2</v>
      </c>
      <c r="M131" s="258"/>
      <c r="N131" s="242"/>
      <c r="O131" s="474"/>
      <c r="P131" s="474"/>
      <c r="Q131" s="474"/>
      <c r="R131" s="474"/>
      <c r="S131" s="474"/>
      <c r="T131" s="474"/>
      <c r="U131" s="474"/>
      <c r="V131" s="474"/>
      <c r="W131" s="474"/>
      <c r="X131" s="474"/>
      <c r="Y131" s="474"/>
      <c r="Z131" s="474"/>
      <c r="AA131" s="474"/>
      <c r="AB131" s="474"/>
      <c r="AC131" s="474"/>
      <c r="AD131" s="474"/>
      <c r="AE131" s="474"/>
      <c r="AF131" s="474"/>
      <c r="AG131" s="474"/>
      <c r="AH131" s="474"/>
      <c r="AI131" s="474"/>
      <c r="AJ131" s="474"/>
      <c r="AK131" s="474"/>
      <c r="AL131" s="474"/>
      <c r="AM131" s="474"/>
      <c r="AN131" s="474"/>
      <c r="AO131" s="474"/>
      <c r="AP131" s="474"/>
      <c r="AQ131" s="474"/>
      <c r="AR131" s="474"/>
      <c r="AS131" s="474"/>
      <c r="AT131" s="474"/>
      <c r="AU131" s="474"/>
      <c r="AV131" s="474"/>
      <c r="AW131" s="474"/>
      <c r="AX131" s="474"/>
      <c r="AY131" s="474"/>
      <c r="AZ131" s="474"/>
      <c r="BA131" s="474"/>
      <c r="BB131" s="474"/>
      <c r="BC131" s="474"/>
      <c r="BD131" s="474"/>
      <c r="BE131" s="474"/>
      <c r="BF131" s="474"/>
    </row>
    <row r="132" spans="1:58" s="475" customFormat="1" ht="25.2" customHeight="1">
      <c r="A132" s="473"/>
      <c r="B132" s="16" t="s">
        <v>706</v>
      </c>
      <c r="C132" s="22" t="s">
        <v>10</v>
      </c>
      <c r="D132" s="45">
        <v>89398</v>
      </c>
      <c r="E132" s="16" t="s">
        <v>10</v>
      </c>
      <c r="F132" s="316" t="s">
        <v>87</v>
      </c>
      <c r="G132" s="318">
        <v>1</v>
      </c>
      <c r="H132" s="16" t="s">
        <v>1</v>
      </c>
      <c r="I132" s="19">
        <v>13.94</v>
      </c>
      <c r="J132" s="19">
        <f t="shared" si="18"/>
        <v>16.797699999999999</v>
      </c>
      <c r="K132" s="228">
        <f t="shared" si="19"/>
        <v>16.797699999999999</v>
      </c>
      <c r="L132" s="242">
        <f>K132/K119</f>
        <v>1.4628720144398271E-2</v>
      </c>
      <c r="M132" s="258"/>
      <c r="N132" s="242"/>
      <c r="O132" s="474"/>
      <c r="P132" s="474"/>
      <c r="Q132" s="474"/>
      <c r="R132" s="474"/>
      <c r="S132" s="474"/>
      <c r="T132" s="474"/>
      <c r="U132" s="474"/>
      <c r="V132" s="474"/>
      <c r="W132" s="474"/>
      <c r="X132" s="474"/>
      <c r="Y132" s="474"/>
      <c r="Z132" s="474"/>
      <c r="AA132" s="474"/>
      <c r="AB132" s="474"/>
      <c r="AC132" s="474"/>
      <c r="AD132" s="474"/>
      <c r="AE132" s="474"/>
      <c r="AF132" s="474"/>
      <c r="AG132" s="474"/>
      <c r="AH132" s="474"/>
      <c r="AI132" s="474"/>
      <c r="AJ132" s="474"/>
      <c r="AK132" s="474"/>
      <c r="AL132" s="474"/>
      <c r="AM132" s="474"/>
      <c r="AN132" s="474"/>
      <c r="AO132" s="474"/>
      <c r="AP132" s="474"/>
      <c r="AQ132" s="474"/>
      <c r="AR132" s="474"/>
      <c r="AS132" s="474"/>
      <c r="AT132" s="474"/>
      <c r="AU132" s="474"/>
      <c r="AV132" s="474"/>
      <c r="AW132" s="474"/>
      <c r="AX132" s="474"/>
      <c r="AY132" s="474"/>
      <c r="AZ132" s="474"/>
      <c r="BA132" s="474"/>
      <c r="BB132" s="474"/>
      <c r="BC132" s="474"/>
      <c r="BD132" s="474"/>
      <c r="BE132" s="474"/>
      <c r="BF132" s="474"/>
    </row>
    <row r="133" spans="1:58" s="475" customFormat="1" ht="25.2" customHeight="1">
      <c r="A133" s="473"/>
      <c r="B133" s="16" t="s">
        <v>707</v>
      </c>
      <c r="C133" s="22" t="s">
        <v>10</v>
      </c>
      <c r="D133" s="45">
        <v>89396</v>
      </c>
      <c r="E133" s="16"/>
      <c r="F133" s="505" t="s">
        <v>228</v>
      </c>
      <c r="G133" s="318">
        <v>3</v>
      </c>
      <c r="H133" s="16" t="s">
        <v>1</v>
      </c>
      <c r="I133" s="19">
        <v>15.06</v>
      </c>
      <c r="J133" s="19">
        <f t="shared" si="18"/>
        <v>18.147300000000001</v>
      </c>
      <c r="K133" s="228">
        <f t="shared" si="19"/>
        <v>54.441900000000004</v>
      </c>
      <c r="L133" s="242">
        <f>K133/K119</f>
        <v>4.741216471477145E-2</v>
      </c>
      <c r="M133" s="258"/>
      <c r="N133" s="242"/>
      <c r="O133" s="474"/>
      <c r="P133" s="474"/>
      <c r="Q133" s="474"/>
      <c r="R133" s="474"/>
      <c r="S133" s="474"/>
      <c r="T133" s="474"/>
      <c r="U133" s="474"/>
      <c r="V133" s="474"/>
      <c r="W133" s="474"/>
      <c r="X133" s="474"/>
      <c r="Y133" s="474"/>
      <c r="Z133" s="474"/>
      <c r="AA133" s="474"/>
      <c r="AB133" s="474"/>
      <c r="AC133" s="474"/>
      <c r="AD133" s="474"/>
      <c r="AE133" s="474"/>
      <c r="AF133" s="474"/>
      <c r="AG133" s="474"/>
      <c r="AH133" s="474"/>
      <c r="AI133" s="474"/>
      <c r="AJ133" s="474"/>
      <c r="AK133" s="474"/>
      <c r="AL133" s="474"/>
      <c r="AM133" s="474"/>
      <c r="AN133" s="474"/>
      <c r="AO133" s="474"/>
      <c r="AP133" s="474"/>
      <c r="AQ133" s="474"/>
      <c r="AR133" s="474"/>
      <c r="AS133" s="474"/>
      <c r="AT133" s="474"/>
      <c r="AU133" s="474"/>
      <c r="AV133" s="474"/>
      <c r="AW133" s="474"/>
      <c r="AX133" s="474"/>
      <c r="AY133" s="474"/>
      <c r="AZ133" s="474"/>
      <c r="BA133" s="474"/>
      <c r="BB133" s="474"/>
      <c r="BC133" s="474"/>
      <c r="BD133" s="474"/>
      <c r="BE133" s="474"/>
      <c r="BF133" s="474"/>
    </row>
    <row r="134" spans="1:58" s="475" customFormat="1" ht="25.2" customHeight="1">
      <c r="A134" s="473"/>
      <c r="B134" s="16" t="s">
        <v>708</v>
      </c>
      <c r="C134" s="22" t="s">
        <v>10</v>
      </c>
      <c r="D134" s="45">
        <v>89435</v>
      </c>
      <c r="E134" s="16" t="s">
        <v>10</v>
      </c>
      <c r="F134" s="316" t="s">
        <v>88</v>
      </c>
      <c r="G134" s="318">
        <v>4</v>
      </c>
      <c r="H134" s="16" t="s">
        <v>1</v>
      </c>
      <c r="I134" s="19">
        <v>13.44</v>
      </c>
      <c r="J134" s="19">
        <f t="shared" si="18"/>
        <v>16.1952</v>
      </c>
      <c r="K134" s="228">
        <f t="shared" si="19"/>
        <v>64.780799999999999</v>
      </c>
      <c r="L134" s="242">
        <f>K134/K119</f>
        <v>5.6416068505226048E-2</v>
      </c>
      <c r="M134" s="258"/>
      <c r="N134" s="242"/>
      <c r="O134" s="474"/>
      <c r="P134" s="474"/>
      <c r="Q134" s="474"/>
      <c r="R134" s="474"/>
      <c r="S134" s="474"/>
      <c r="T134" s="474"/>
      <c r="U134" s="474"/>
      <c r="V134" s="474"/>
      <c r="W134" s="474"/>
      <c r="X134" s="474"/>
      <c r="Y134" s="474"/>
      <c r="Z134" s="474"/>
      <c r="AA134" s="474"/>
      <c r="AB134" s="474"/>
      <c r="AC134" s="474"/>
      <c r="AD134" s="474"/>
      <c r="AE134" s="474"/>
      <c r="AF134" s="474"/>
      <c r="AG134" s="474"/>
      <c r="AH134" s="474"/>
      <c r="AI134" s="474"/>
      <c r="AJ134" s="474"/>
      <c r="AK134" s="474"/>
      <c r="AL134" s="474"/>
      <c r="AM134" s="474"/>
      <c r="AN134" s="474"/>
      <c r="AO134" s="474"/>
      <c r="AP134" s="474"/>
      <c r="AQ134" s="474"/>
      <c r="AR134" s="474"/>
      <c r="AS134" s="474"/>
      <c r="AT134" s="474"/>
      <c r="AU134" s="474"/>
      <c r="AV134" s="474"/>
      <c r="AW134" s="474"/>
      <c r="AX134" s="474"/>
      <c r="AY134" s="474"/>
      <c r="AZ134" s="474"/>
      <c r="BA134" s="474"/>
      <c r="BB134" s="474"/>
      <c r="BC134" s="474"/>
      <c r="BD134" s="474"/>
      <c r="BE134" s="474"/>
      <c r="BF134" s="474"/>
    </row>
    <row r="135" spans="1:58" s="321" customFormat="1" ht="25.2" customHeight="1">
      <c r="B135" s="506"/>
      <c r="C135" s="507"/>
      <c r="D135" s="508"/>
      <c r="E135" s="507"/>
      <c r="F135" s="509"/>
      <c r="G135" s="510"/>
      <c r="H135" s="507"/>
      <c r="I135" s="507"/>
      <c r="J135" s="507"/>
      <c r="K135" s="507"/>
      <c r="L135" s="511"/>
      <c r="M135" s="508"/>
      <c r="N135" s="512"/>
    </row>
    <row r="136" spans="1:58" ht="25.2" customHeight="1">
      <c r="B136" s="26" t="s">
        <v>152</v>
      </c>
      <c r="C136" s="533" t="s">
        <v>89</v>
      </c>
      <c r="D136" s="533"/>
      <c r="E136" s="533"/>
      <c r="F136" s="533"/>
      <c r="G136" s="533"/>
      <c r="H136" s="533"/>
      <c r="I136" s="533"/>
      <c r="J136" s="533"/>
      <c r="K136" s="234">
        <f>SUM(K137:K158)</f>
        <v>3787.556</v>
      </c>
      <c r="L136" s="240">
        <f>SUM(L137:L158)</f>
        <v>1</v>
      </c>
      <c r="M136" s="256">
        <f>K136/K206</f>
        <v>0.14016667712365549</v>
      </c>
      <c r="N136" s="240">
        <f>K136/K398</f>
        <v>5.8277226150655016E-3</v>
      </c>
    </row>
    <row r="137" spans="1:58" s="475" customFormat="1" ht="25.2" customHeight="1">
      <c r="A137" s="473"/>
      <c r="B137" s="16" t="s">
        <v>709</v>
      </c>
      <c r="C137" s="22" t="s">
        <v>10</v>
      </c>
      <c r="D137" s="45">
        <v>89546</v>
      </c>
      <c r="E137" s="12"/>
      <c r="F137" s="316" t="s">
        <v>90</v>
      </c>
      <c r="G137" s="318">
        <v>2</v>
      </c>
      <c r="H137" s="16" t="s">
        <v>1</v>
      </c>
      <c r="I137" s="19">
        <v>7.2</v>
      </c>
      <c r="J137" s="19">
        <f t="shared" ref="J137:J158" si="20">I137*$I$3+I137</f>
        <v>8.6760000000000002</v>
      </c>
      <c r="K137" s="228">
        <f t="shared" ref="K137:K158" si="21">G137*J137</f>
        <v>17.352</v>
      </c>
      <c r="L137" s="242">
        <f>K137/K136</f>
        <v>4.5813184016289133E-3</v>
      </c>
      <c r="M137" s="258"/>
      <c r="N137" s="242"/>
      <c r="O137" s="474"/>
      <c r="P137" s="474"/>
      <c r="Q137" s="474"/>
      <c r="R137" s="474"/>
      <c r="S137" s="474"/>
      <c r="T137" s="474"/>
      <c r="U137" s="474"/>
      <c r="V137" s="474"/>
      <c r="W137" s="474"/>
      <c r="X137" s="474"/>
      <c r="Y137" s="474"/>
      <c r="Z137" s="474"/>
      <c r="AA137" s="474"/>
      <c r="AB137" s="474"/>
      <c r="AC137" s="474"/>
      <c r="AD137" s="474"/>
      <c r="AE137" s="474"/>
      <c r="AF137" s="474"/>
      <c r="AG137" s="474"/>
      <c r="AH137" s="474"/>
      <c r="AI137" s="474"/>
      <c r="AJ137" s="474"/>
      <c r="AK137" s="474"/>
      <c r="AL137" s="474"/>
      <c r="AM137" s="474"/>
      <c r="AN137" s="474"/>
      <c r="AO137" s="474"/>
      <c r="AP137" s="474"/>
      <c r="AQ137" s="474"/>
      <c r="AR137" s="474"/>
      <c r="AS137" s="474"/>
      <c r="AT137" s="474"/>
      <c r="AU137" s="474"/>
      <c r="AV137" s="474"/>
      <c r="AW137" s="474"/>
      <c r="AX137" s="474"/>
      <c r="AY137" s="474"/>
      <c r="AZ137" s="474"/>
      <c r="BA137" s="474"/>
      <c r="BB137" s="474"/>
      <c r="BC137" s="474"/>
      <c r="BD137" s="474"/>
      <c r="BE137" s="474"/>
      <c r="BF137" s="474"/>
    </row>
    <row r="138" spans="1:58" s="483" customFormat="1" ht="25.2" customHeight="1">
      <c r="A138" s="481"/>
      <c r="B138" s="16" t="s">
        <v>710</v>
      </c>
      <c r="C138" s="31" t="s">
        <v>231</v>
      </c>
      <c r="D138" s="40" t="s">
        <v>178</v>
      </c>
      <c r="E138" s="30"/>
      <c r="F138" s="479" t="s">
        <v>897</v>
      </c>
      <c r="G138" s="480">
        <v>1</v>
      </c>
      <c r="H138" s="31" t="s">
        <v>1</v>
      </c>
      <c r="I138" s="34">
        <v>5.62</v>
      </c>
      <c r="J138" s="34">
        <f t="shared" si="20"/>
        <v>6.7721</v>
      </c>
      <c r="K138" s="233">
        <f t="shared" si="21"/>
        <v>6.7721</v>
      </c>
      <c r="L138" s="285">
        <f>K138/K136</f>
        <v>1.7879867650801731E-3</v>
      </c>
      <c r="M138" s="282"/>
      <c r="N138" s="285"/>
      <c r="O138" s="482"/>
      <c r="P138" s="482"/>
      <c r="Q138" s="482"/>
      <c r="R138" s="482"/>
      <c r="S138" s="482"/>
      <c r="T138" s="482"/>
      <c r="U138" s="482"/>
      <c r="V138" s="482"/>
      <c r="W138" s="482"/>
      <c r="X138" s="482"/>
      <c r="Y138" s="482"/>
      <c r="Z138" s="482"/>
      <c r="AA138" s="482"/>
      <c r="AB138" s="482"/>
      <c r="AC138" s="482"/>
      <c r="AD138" s="482"/>
      <c r="AE138" s="482"/>
      <c r="AF138" s="482"/>
      <c r="AG138" s="482"/>
      <c r="AH138" s="482"/>
      <c r="AI138" s="482"/>
      <c r="AJ138" s="482"/>
      <c r="AK138" s="482"/>
      <c r="AL138" s="482"/>
      <c r="AM138" s="482"/>
      <c r="AN138" s="482"/>
      <c r="AO138" s="482"/>
      <c r="AP138" s="482"/>
      <c r="AQ138" s="482"/>
      <c r="AR138" s="482"/>
      <c r="AS138" s="482"/>
      <c r="AT138" s="482"/>
      <c r="AU138" s="482"/>
      <c r="AV138" s="482"/>
      <c r="AW138" s="482"/>
      <c r="AX138" s="482"/>
      <c r="AY138" s="482"/>
      <c r="AZ138" s="482"/>
      <c r="BA138" s="482"/>
      <c r="BB138" s="482"/>
      <c r="BC138" s="482"/>
      <c r="BD138" s="482"/>
      <c r="BE138" s="482"/>
      <c r="BF138" s="482"/>
    </row>
    <row r="139" spans="1:58" s="483" customFormat="1" ht="25.2" customHeight="1">
      <c r="A139" s="481"/>
      <c r="B139" s="16" t="s">
        <v>711</v>
      </c>
      <c r="C139" s="31" t="s">
        <v>231</v>
      </c>
      <c r="D139" s="40" t="s">
        <v>179</v>
      </c>
      <c r="E139" s="30"/>
      <c r="F139" s="479" t="s">
        <v>898</v>
      </c>
      <c r="G139" s="480">
        <v>1</v>
      </c>
      <c r="H139" s="31" t="s">
        <v>1</v>
      </c>
      <c r="I139" s="34">
        <v>14.65</v>
      </c>
      <c r="J139" s="34">
        <f t="shared" ref="J139" si="22">I139*$I$3+I139</f>
        <v>17.65325</v>
      </c>
      <c r="K139" s="233">
        <f t="shared" ref="K139" si="23">G139*J139</f>
        <v>17.65325</v>
      </c>
      <c r="L139" s="285">
        <f>K139/K136</f>
        <v>4.6608551794349706E-3</v>
      </c>
      <c r="M139" s="282"/>
      <c r="N139" s="285"/>
      <c r="O139" s="482"/>
      <c r="P139" s="482"/>
      <c r="Q139" s="482"/>
      <c r="R139" s="482"/>
      <c r="S139" s="482"/>
      <c r="T139" s="482"/>
      <c r="U139" s="482"/>
      <c r="V139" s="482"/>
      <c r="W139" s="482"/>
      <c r="X139" s="482"/>
      <c r="Y139" s="482"/>
      <c r="Z139" s="482"/>
      <c r="AA139" s="482"/>
      <c r="AB139" s="482"/>
      <c r="AC139" s="482"/>
      <c r="AD139" s="482"/>
      <c r="AE139" s="482"/>
      <c r="AF139" s="482"/>
      <c r="AG139" s="482"/>
      <c r="AH139" s="482"/>
      <c r="AI139" s="482"/>
      <c r="AJ139" s="482"/>
      <c r="AK139" s="482"/>
      <c r="AL139" s="482"/>
      <c r="AM139" s="482"/>
      <c r="AN139" s="482"/>
      <c r="AO139" s="482"/>
      <c r="AP139" s="482"/>
      <c r="AQ139" s="482"/>
      <c r="AR139" s="482"/>
      <c r="AS139" s="482"/>
      <c r="AT139" s="482"/>
      <c r="AU139" s="482"/>
      <c r="AV139" s="482"/>
      <c r="AW139" s="482"/>
      <c r="AX139" s="482"/>
      <c r="AY139" s="482"/>
      <c r="AZ139" s="482"/>
      <c r="BA139" s="482"/>
      <c r="BB139" s="482"/>
      <c r="BC139" s="482"/>
      <c r="BD139" s="482"/>
      <c r="BE139" s="482"/>
      <c r="BF139" s="482"/>
    </row>
    <row r="140" spans="1:58" s="483" customFormat="1" ht="25.2" customHeight="1">
      <c r="A140" s="481"/>
      <c r="B140" s="16" t="s">
        <v>712</v>
      </c>
      <c r="C140" s="31" t="s">
        <v>231</v>
      </c>
      <c r="D140" s="40" t="s">
        <v>180</v>
      </c>
      <c r="E140" s="30"/>
      <c r="F140" s="479" t="s">
        <v>484</v>
      </c>
      <c r="G140" s="480">
        <v>6</v>
      </c>
      <c r="H140" s="31" t="s">
        <v>1</v>
      </c>
      <c r="I140" s="34">
        <v>22.43</v>
      </c>
      <c r="J140" s="34">
        <f t="shared" si="20"/>
        <v>27.02815</v>
      </c>
      <c r="K140" s="233">
        <f t="shared" si="21"/>
        <v>162.16890000000001</v>
      </c>
      <c r="L140" s="285">
        <f>K140/K136</f>
        <v>4.2816238228556888E-2</v>
      </c>
      <c r="M140" s="282"/>
      <c r="N140" s="285"/>
      <c r="O140" s="482"/>
      <c r="P140" s="482"/>
      <c r="Q140" s="482"/>
      <c r="R140" s="482"/>
      <c r="S140" s="482"/>
      <c r="T140" s="482"/>
      <c r="U140" s="482"/>
      <c r="V140" s="482"/>
      <c r="W140" s="482"/>
      <c r="X140" s="482"/>
      <c r="Y140" s="482"/>
      <c r="Z140" s="482"/>
      <c r="AA140" s="482"/>
      <c r="AB140" s="482"/>
      <c r="AC140" s="482"/>
      <c r="AD140" s="482"/>
      <c r="AE140" s="482"/>
      <c r="AF140" s="482"/>
      <c r="AG140" s="482"/>
      <c r="AH140" s="482"/>
      <c r="AI140" s="482"/>
      <c r="AJ140" s="482"/>
      <c r="AK140" s="482"/>
      <c r="AL140" s="482"/>
      <c r="AM140" s="482"/>
      <c r="AN140" s="482"/>
      <c r="AO140" s="482"/>
      <c r="AP140" s="482"/>
      <c r="AQ140" s="482"/>
      <c r="AR140" s="482"/>
      <c r="AS140" s="482"/>
      <c r="AT140" s="482"/>
      <c r="AU140" s="482"/>
      <c r="AV140" s="482"/>
      <c r="AW140" s="482"/>
      <c r="AX140" s="482"/>
      <c r="AY140" s="482"/>
      <c r="AZ140" s="482"/>
      <c r="BA140" s="482"/>
      <c r="BB140" s="482"/>
      <c r="BC140" s="482"/>
      <c r="BD140" s="482"/>
      <c r="BE140" s="482"/>
      <c r="BF140" s="482"/>
    </row>
    <row r="141" spans="1:58" s="475" customFormat="1" ht="25.2" customHeight="1">
      <c r="A141" s="473"/>
      <c r="B141" s="16" t="s">
        <v>713</v>
      </c>
      <c r="C141" s="16" t="s">
        <v>231</v>
      </c>
      <c r="D141" s="45" t="s">
        <v>478</v>
      </c>
      <c r="E141" s="12"/>
      <c r="F141" s="316" t="s">
        <v>91</v>
      </c>
      <c r="G141" s="318">
        <v>1</v>
      </c>
      <c r="H141" s="16" t="s">
        <v>1</v>
      </c>
      <c r="I141" s="19">
        <f>Cotação!E37</f>
        <v>33.9</v>
      </c>
      <c r="J141" s="19">
        <f t="shared" si="20"/>
        <v>40.849499999999999</v>
      </c>
      <c r="K141" s="228">
        <f t="shared" si="21"/>
        <v>40.849499999999999</v>
      </c>
      <c r="L141" s="242">
        <f>K141/K136</f>
        <v>1.07851870705014E-2</v>
      </c>
      <c r="M141" s="258"/>
      <c r="N141" s="242"/>
      <c r="O141" s="474"/>
      <c r="P141" s="474"/>
      <c r="Q141" s="474"/>
      <c r="R141" s="474"/>
      <c r="S141" s="474"/>
      <c r="T141" s="474"/>
      <c r="U141" s="474"/>
      <c r="V141" s="474"/>
      <c r="W141" s="474"/>
      <c r="X141" s="474"/>
      <c r="Y141" s="474"/>
      <c r="Z141" s="474"/>
      <c r="AA141" s="474"/>
      <c r="AB141" s="474"/>
      <c r="AC141" s="474"/>
      <c r="AD141" s="474"/>
      <c r="AE141" s="474"/>
      <c r="AF141" s="474"/>
      <c r="AG141" s="474"/>
      <c r="AH141" s="474"/>
      <c r="AI141" s="474"/>
      <c r="AJ141" s="474"/>
      <c r="AK141" s="474"/>
      <c r="AL141" s="474"/>
      <c r="AM141" s="474"/>
      <c r="AN141" s="474"/>
      <c r="AO141" s="474"/>
      <c r="AP141" s="474"/>
      <c r="AQ141" s="474"/>
      <c r="AR141" s="474"/>
      <c r="AS141" s="474"/>
      <c r="AT141" s="474"/>
      <c r="AU141" s="474"/>
      <c r="AV141" s="474"/>
      <c r="AW141" s="474"/>
      <c r="AX141" s="474"/>
      <c r="AY141" s="474"/>
      <c r="AZ141" s="474"/>
      <c r="BA141" s="474"/>
      <c r="BB141" s="474"/>
      <c r="BC141" s="474"/>
      <c r="BD141" s="474"/>
      <c r="BE141" s="474"/>
      <c r="BF141" s="474"/>
    </row>
    <row r="142" spans="1:58" s="475" customFormat="1" ht="25.2" customHeight="1">
      <c r="A142" s="473"/>
      <c r="B142" s="16" t="s">
        <v>714</v>
      </c>
      <c r="C142" s="22" t="s">
        <v>10</v>
      </c>
      <c r="D142" s="45">
        <v>89726</v>
      </c>
      <c r="E142" s="12"/>
      <c r="F142" s="316" t="s">
        <v>92</v>
      </c>
      <c r="G142" s="318">
        <v>3</v>
      </c>
      <c r="H142" s="16" t="s">
        <v>1</v>
      </c>
      <c r="I142" s="19">
        <v>5.85</v>
      </c>
      <c r="J142" s="19">
        <f t="shared" si="20"/>
        <v>7.0492499999999998</v>
      </c>
      <c r="K142" s="228">
        <f t="shared" si="21"/>
        <v>21.147749999999998</v>
      </c>
      <c r="L142" s="242">
        <f>K142/K136</f>
        <v>5.5834818019852373E-3</v>
      </c>
      <c r="M142" s="258"/>
      <c r="N142" s="242"/>
      <c r="O142" s="474"/>
      <c r="P142" s="474"/>
      <c r="Q142" s="474"/>
      <c r="R142" s="474"/>
      <c r="S142" s="474"/>
      <c r="T142" s="474"/>
      <c r="U142" s="474"/>
      <c r="V142" s="474"/>
      <c r="W142" s="474"/>
      <c r="X142" s="474"/>
      <c r="Y142" s="474"/>
      <c r="Z142" s="474"/>
      <c r="AA142" s="474"/>
      <c r="AB142" s="474"/>
      <c r="AC142" s="474"/>
      <c r="AD142" s="474"/>
      <c r="AE142" s="474"/>
      <c r="AF142" s="474"/>
      <c r="AG142" s="474"/>
      <c r="AH142" s="474"/>
      <c r="AI142" s="474"/>
      <c r="AJ142" s="474"/>
      <c r="AK142" s="474"/>
      <c r="AL142" s="474"/>
      <c r="AM142" s="474"/>
      <c r="AN142" s="474"/>
      <c r="AO142" s="474"/>
      <c r="AP142" s="474"/>
      <c r="AQ142" s="474"/>
      <c r="AR142" s="474"/>
      <c r="AS142" s="474"/>
      <c r="AT142" s="474"/>
      <c r="AU142" s="474"/>
      <c r="AV142" s="474"/>
      <c r="AW142" s="474"/>
      <c r="AX142" s="474"/>
      <c r="AY142" s="474"/>
      <c r="AZ142" s="474"/>
      <c r="BA142" s="474"/>
      <c r="BB142" s="474"/>
      <c r="BC142" s="474"/>
      <c r="BD142" s="474"/>
      <c r="BE142" s="474"/>
      <c r="BF142" s="474"/>
    </row>
    <row r="143" spans="1:58" s="475" customFormat="1" ht="25.2" customHeight="1">
      <c r="A143" s="473"/>
      <c r="B143" s="16" t="s">
        <v>715</v>
      </c>
      <c r="C143" s="22" t="s">
        <v>10</v>
      </c>
      <c r="D143" s="45">
        <v>89732</v>
      </c>
      <c r="E143" s="12"/>
      <c r="F143" s="316" t="s">
        <v>93</v>
      </c>
      <c r="G143" s="318">
        <v>13</v>
      </c>
      <c r="H143" s="16" t="s">
        <v>1</v>
      </c>
      <c r="I143" s="19">
        <v>8.73</v>
      </c>
      <c r="J143" s="19">
        <f t="shared" si="20"/>
        <v>10.51965</v>
      </c>
      <c r="K143" s="228">
        <f t="shared" si="21"/>
        <v>136.75545</v>
      </c>
      <c r="L143" s="242">
        <f>K143/K136</f>
        <v>3.6106515652837873E-2</v>
      </c>
      <c r="M143" s="258"/>
      <c r="N143" s="242"/>
      <c r="O143" s="474"/>
      <c r="P143" s="474"/>
      <c r="Q143" s="474"/>
      <c r="R143" s="474"/>
      <c r="S143" s="474"/>
      <c r="T143" s="474"/>
      <c r="U143" s="474"/>
      <c r="V143" s="474"/>
      <c r="W143" s="474"/>
      <c r="X143" s="474"/>
      <c r="Y143" s="474"/>
      <c r="Z143" s="474"/>
      <c r="AA143" s="474"/>
      <c r="AB143" s="474"/>
      <c r="AC143" s="474"/>
      <c r="AD143" s="474"/>
      <c r="AE143" s="474"/>
      <c r="AF143" s="474"/>
      <c r="AG143" s="474"/>
      <c r="AH143" s="474"/>
      <c r="AI143" s="474"/>
      <c r="AJ143" s="474"/>
      <c r="AK143" s="474"/>
      <c r="AL143" s="474"/>
      <c r="AM143" s="474"/>
      <c r="AN143" s="474"/>
      <c r="AO143" s="474"/>
      <c r="AP143" s="474"/>
      <c r="AQ143" s="474"/>
      <c r="AR143" s="474"/>
      <c r="AS143" s="474"/>
      <c r="AT143" s="474"/>
      <c r="AU143" s="474"/>
      <c r="AV143" s="474"/>
      <c r="AW143" s="474"/>
      <c r="AX143" s="474"/>
      <c r="AY143" s="474"/>
      <c r="AZ143" s="474"/>
      <c r="BA143" s="474"/>
      <c r="BB143" s="474"/>
      <c r="BC143" s="474"/>
      <c r="BD143" s="474"/>
      <c r="BE143" s="474"/>
      <c r="BF143" s="474"/>
    </row>
    <row r="144" spans="1:58" s="483" customFormat="1" ht="25.2" customHeight="1">
      <c r="A144" s="481"/>
      <c r="B144" s="16" t="s">
        <v>716</v>
      </c>
      <c r="C144" s="35" t="s">
        <v>10</v>
      </c>
      <c r="D144" s="40" t="s">
        <v>903</v>
      </c>
      <c r="E144" s="30"/>
      <c r="F144" s="479" t="s">
        <v>899</v>
      </c>
      <c r="G144" s="480">
        <v>5</v>
      </c>
      <c r="H144" s="31" t="s">
        <v>1</v>
      </c>
      <c r="I144" s="34">
        <v>9.89</v>
      </c>
      <c r="J144" s="34">
        <f t="shared" ref="J144" si="24">I144*$I$3+I144</f>
        <v>11.917450000000001</v>
      </c>
      <c r="K144" s="233">
        <f t="shared" ref="K144" si="25">G144*J144</f>
        <v>59.587250000000004</v>
      </c>
      <c r="L144" s="285">
        <f>K144/K136</f>
        <v>1.573237465003818E-2</v>
      </c>
      <c r="M144" s="282"/>
      <c r="N144" s="285"/>
      <c r="O144" s="482"/>
      <c r="P144" s="482"/>
      <c r="Q144" s="482"/>
      <c r="R144" s="482"/>
      <c r="S144" s="482"/>
      <c r="T144" s="482"/>
      <c r="U144" s="482"/>
      <c r="V144" s="482"/>
      <c r="W144" s="482"/>
      <c r="X144" s="482"/>
      <c r="Y144" s="482"/>
      <c r="Z144" s="482"/>
      <c r="AA144" s="482"/>
      <c r="AB144" s="482"/>
      <c r="AC144" s="482"/>
      <c r="AD144" s="482"/>
      <c r="AE144" s="482"/>
      <c r="AF144" s="482"/>
      <c r="AG144" s="482"/>
      <c r="AH144" s="482"/>
      <c r="AI144" s="482"/>
      <c r="AJ144" s="482"/>
      <c r="AK144" s="482"/>
      <c r="AL144" s="482"/>
      <c r="AM144" s="482"/>
      <c r="AN144" s="482"/>
      <c r="AO144" s="482"/>
      <c r="AP144" s="482"/>
      <c r="AQ144" s="482"/>
      <c r="AR144" s="482"/>
      <c r="AS144" s="482"/>
      <c r="AT144" s="482"/>
      <c r="AU144" s="482"/>
      <c r="AV144" s="482"/>
      <c r="AW144" s="482"/>
      <c r="AX144" s="482"/>
      <c r="AY144" s="482"/>
      <c r="AZ144" s="482"/>
      <c r="BA144" s="482"/>
      <c r="BB144" s="482"/>
      <c r="BC144" s="482"/>
      <c r="BD144" s="482"/>
      <c r="BE144" s="482"/>
      <c r="BF144" s="482"/>
    </row>
    <row r="145" spans="1:58" s="475" customFormat="1" ht="25.2" customHeight="1">
      <c r="A145" s="473"/>
      <c r="B145" s="16" t="s">
        <v>717</v>
      </c>
      <c r="C145" s="22" t="s">
        <v>10</v>
      </c>
      <c r="D145" s="45">
        <v>89746</v>
      </c>
      <c r="E145" s="12"/>
      <c r="F145" s="316" t="s">
        <v>94</v>
      </c>
      <c r="G145" s="318">
        <v>15</v>
      </c>
      <c r="H145" s="16" t="s">
        <v>1</v>
      </c>
      <c r="I145" s="19">
        <v>18.010000000000002</v>
      </c>
      <c r="J145" s="19">
        <f t="shared" si="20"/>
        <v>21.70205</v>
      </c>
      <c r="K145" s="228">
        <f t="shared" si="21"/>
        <v>325.53075000000001</v>
      </c>
      <c r="L145" s="242">
        <f>K145/K136</f>
        <v>8.5947442097225754E-2</v>
      </c>
      <c r="M145" s="258"/>
      <c r="N145" s="242"/>
      <c r="O145" s="474"/>
      <c r="P145" s="474"/>
      <c r="Q145" s="474"/>
      <c r="R145" s="474"/>
      <c r="S145" s="474"/>
      <c r="T145" s="474"/>
      <c r="U145" s="474"/>
      <c r="V145" s="474"/>
      <c r="W145" s="474"/>
      <c r="X145" s="474"/>
      <c r="Y145" s="474"/>
      <c r="Z145" s="474"/>
      <c r="AA145" s="474"/>
      <c r="AB145" s="474"/>
      <c r="AC145" s="474"/>
      <c r="AD145" s="474"/>
      <c r="AE145" s="474"/>
      <c r="AF145" s="474"/>
      <c r="AG145" s="474"/>
      <c r="AH145" s="474"/>
      <c r="AI145" s="474"/>
      <c r="AJ145" s="474"/>
      <c r="AK145" s="474"/>
      <c r="AL145" s="474"/>
      <c r="AM145" s="474"/>
      <c r="AN145" s="474"/>
      <c r="AO145" s="474"/>
      <c r="AP145" s="474"/>
      <c r="AQ145" s="474"/>
      <c r="AR145" s="474"/>
      <c r="AS145" s="474"/>
      <c r="AT145" s="474"/>
      <c r="AU145" s="474"/>
      <c r="AV145" s="474"/>
      <c r="AW145" s="474"/>
      <c r="AX145" s="474"/>
      <c r="AY145" s="474"/>
      <c r="AZ145" s="474"/>
      <c r="BA145" s="474"/>
      <c r="BB145" s="474"/>
      <c r="BC145" s="474"/>
      <c r="BD145" s="474"/>
      <c r="BE145" s="474"/>
      <c r="BF145" s="474"/>
    </row>
    <row r="146" spans="1:58" s="475" customFormat="1" ht="25.2" customHeight="1">
      <c r="A146" s="473"/>
      <c r="B146" s="16" t="s">
        <v>718</v>
      </c>
      <c r="C146" s="22" t="s">
        <v>10</v>
      </c>
      <c r="D146" s="45">
        <v>89724</v>
      </c>
      <c r="E146" s="12"/>
      <c r="F146" s="316" t="s">
        <v>95</v>
      </c>
      <c r="G146" s="318">
        <v>8</v>
      </c>
      <c r="H146" s="16" t="s">
        <v>1</v>
      </c>
      <c r="I146" s="19">
        <v>7.34</v>
      </c>
      <c r="J146" s="19">
        <f t="shared" si="20"/>
        <v>8.8446999999999996</v>
      </c>
      <c r="K146" s="228">
        <f t="shared" si="21"/>
        <v>70.757599999999996</v>
      </c>
      <c r="L146" s="242">
        <f>K146/K136</f>
        <v>1.868159837108679E-2</v>
      </c>
      <c r="M146" s="258"/>
      <c r="N146" s="242"/>
      <c r="O146" s="474"/>
      <c r="P146" s="474"/>
      <c r="Q146" s="474"/>
      <c r="R146" s="474"/>
      <c r="S146" s="474"/>
      <c r="T146" s="474"/>
      <c r="U146" s="474"/>
      <c r="V146" s="474"/>
      <c r="W146" s="474"/>
      <c r="X146" s="474"/>
      <c r="Y146" s="474"/>
      <c r="Z146" s="474"/>
      <c r="AA146" s="474"/>
      <c r="AB146" s="474"/>
      <c r="AC146" s="474"/>
      <c r="AD146" s="474"/>
      <c r="AE146" s="474"/>
      <c r="AF146" s="474"/>
      <c r="AG146" s="474"/>
      <c r="AH146" s="474"/>
      <c r="AI146" s="474"/>
      <c r="AJ146" s="474"/>
      <c r="AK146" s="474"/>
      <c r="AL146" s="474"/>
      <c r="AM146" s="474"/>
      <c r="AN146" s="474"/>
      <c r="AO146" s="474"/>
      <c r="AP146" s="474"/>
      <c r="AQ146" s="474"/>
      <c r="AR146" s="474"/>
      <c r="AS146" s="474"/>
      <c r="AT146" s="474"/>
      <c r="AU146" s="474"/>
      <c r="AV146" s="474"/>
      <c r="AW146" s="474"/>
      <c r="AX146" s="474"/>
      <c r="AY146" s="474"/>
      <c r="AZ146" s="474"/>
      <c r="BA146" s="474"/>
      <c r="BB146" s="474"/>
      <c r="BC146" s="474"/>
      <c r="BD146" s="474"/>
      <c r="BE146" s="474"/>
      <c r="BF146" s="474"/>
    </row>
    <row r="147" spans="1:58" s="475" customFormat="1" ht="25.2" customHeight="1">
      <c r="A147" s="473"/>
      <c r="B147" s="16" t="s">
        <v>719</v>
      </c>
      <c r="C147" s="22" t="s">
        <v>10</v>
      </c>
      <c r="D147" s="45">
        <v>89731</v>
      </c>
      <c r="E147" s="12"/>
      <c r="F147" s="316" t="s">
        <v>96</v>
      </c>
      <c r="G147" s="318">
        <v>5</v>
      </c>
      <c r="H147" s="16" t="s">
        <v>1</v>
      </c>
      <c r="I147" s="19">
        <v>8.3800000000000008</v>
      </c>
      <c r="J147" s="19">
        <f t="shared" si="20"/>
        <v>10.097900000000001</v>
      </c>
      <c r="K147" s="228">
        <f t="shared" si="21"/>
        <v>50.489500000000007</v>
      </c>
      <c r="L147" s="242">
        <f>K147/K136</f>
        <v>1.3330363960295242E-2</v>
      </c>
      <c r="M147" s="258"/>
      <c r="N147" s="242"/>
      <c r="O147" s="474"/>
      <c r="P147" s="474"/>
      <c r="Q147" s="474"/>
      <c r="R147" s="474"/>
      <c r="S147" s="474"/>
      <c r="T147" s="474"/>
      <c r="U147" s="474"/>
      <c r="V147" s="474"/>
      <c r="W147" s="474"/>
      <c r="X147" s="474"/>
      <c r="Y147" s="474"/>
      <c r="Z147" s="474"/>
      <c r="AA147" s="474"/>
      <c r="AB147" s="474"/>
      <c r="AC147" s="474"/>
      <c r="AD147" s="474"/>
      <c r="AE147" s="474"/>
      <c r="AF147" s="474"/>
      <c r="AG147" s="474"/>
      <c r="AH147" s="474"/>
      <c r="AI147" s="474"/>
      <c r="AJ147" s="474"/>
      <c r="AK147" s="474"/>
      <c r="AL147" s="474"/>
      <c r="AM147" s="474"/>
      <c r="AN147" s="474"/>
      <c r="AO147" s="474"/>
      <c r="AP147" s="474"/>
      <c r="AQ147" s="474"/>
      <c r="AR147" s="474"/>
      <c r="AS147" s="474"/>
      <c r="AT147" s="474"/>
      <c r="AU147" s="474"/>
      <c r="AV147" s="474"/>
      <c r="AW147" s="474"/>
      <c r="AX147" s="474"/>
      <c r="AY147" s="474"/>
      <c r="AZ147" s="474"/>
      <c r="BA147" s="474"/>
      <c r="BB147" s="474"/>
      <c r="BC147" s="474"/>
      <c r="BD147" s="474"/>
      <c r="BE147" s="474"/>
      <c r="BF147" s="474"/>
    </row>
    <row r="148" spans="1:58" s="475" customFormat="1" ht="25.2" customHeight="1">
      <c r="A148" s="473"/>
      <c r="B148" s="16" t="s">
        <v>720</v>
      </c>
      <c r="C148" s="22" t="s">
        <v>10</v>
      </c>
      <c r="D148" s="45">
        <v>89744</v>
      </c>
      <c r="E148" s="12"/>
      <c r="F148" s="316" t="s">
        <v>97</v>
      </c>
      <c r="G148" s="318">
        <v>30</v>
      </c>
      <c r="H148" s="16" t="s">
        <v>1</v>
      </c>
      <c r="I148" s="19">
        <v>18.04</v>
      </c>
      <c r="J148" s="19">
        <f t="shared" si="20"/>
        <v>21.738199999999999</v>
      </c>
      <c r="K148" s="228">
        <f t="shared" si="21"/>
        <v>652.14599999999996</v>
      </c>
      <c r="L148" s="242">
        <f>K148/K136</f>
        <v>0.17218121659455332</v>
      </c>
      <c r="M148" s="258"/>
      <c r="N148" s="242"/>
      <c r="O148" s="474"/>
      <c r="P148" s="474"/>
      <c r="Q148" s="474"/>
      <c r="R148" s="474"/>
      <c r="S148" s="474"/>
      <c r="T148" s="474"/>
      <c r="U148" s="474"/>
      <c r="V148" s="474"/>
      <c r="W148" s="474"/>
      <c r="X148" s="474"/>
      <c r="Y148" s="474"/>
      <c r="Z148" s="474"/>
      <c r="AA148" s="474"/>
      <c r="AB148" s="474"/>
      <c r="AC148" s="474"/>
      <c r="AD148" s="474"/>
      <c r="AE148" s="474"/>
      <c r="AF148" s="474"/>
      <c r="AG148" s="474"/>
      <c r="AH148" s="474"/>
      <c r="AI148" s="474"/>
      <c r="AJ148" s="474"/>
      <c r="AK148" s="474"/>
      <c r="AL148" s="474"/>
      <c r="AM148" s="474"/>
      <c r="AN148" s="474"/>
      <c r="AO148" s="474"/>
      <c r="AP148" s="474"/>
      <c r="AQ148" s="474"/>
      <c r="AR148" s="474"/>
      <c r="AS148" s="474"/>
      <c r="AT148" s="474"/>
      <c r="AU148" s="474"/>
      <c r="AV148" s="474"/>
      <c r="AW148" s="474"/>
      <c r="AX148" s="474"/>
      <c r="AY148" s="474"/>
      <c r="AZ148" s="474"/>
      <c r="BA148" s="474"/>
      <c r="BB148" s="474"/>
      <c r="BC148" s="474"/>
      <c r="BD148" s="474"/>
      <c r="BE148" s="474"/>
      <c r="BF148" s="474"/>
    </row>
    <row r="149" spans="1:58" s="475" customFormat="1" ht="25.2" customHeight="1">
      <c r="A149" s="473"/>
      <c r="B149" s="16" t="s">
        <v>721</v>
      </c>
      <c r="C149" s="22" t="s">
        <v>10</v>
      </c>
      <c r="D149" s="45">
        <v>89854</v>
      </c>
      <c r="E149" s="12"/>
      <c r="F149" s="316" t="s">
        <v>98</v>
      </c>
      <c r="G149" s="318">
        <v>2</v>
      </c>
      <c r="H149" s="16" t="s">
        <v>1</v>
      </c>
      <c r="I149" s="19">
        <v>52.17</v>
      </c>
      <c r="J149" s="19">
        <f t="shared" si="20"/>
        <v>62.864850000000004</v>
      </c>
      <c r="K149" s="228">
        <f t="shared" si="21"/>
        <v>125.72970000000001</v>
      </c>
      <c r="L149" s="242">
        <f>K149/K136</f>
        <v>3.3195469585136167E-2</v>
      </c>
      <c r="M149" s="258"/>
      <c r="N149" s="242"/>
      <c r="O149" s="474"/>
      <c r="P149" s="474"/>
      <c r="Q149" s="474"/>
      <c r="R149" s="474"/>
      <c r="S149" s="474"/>
      <c r="T149" s="474"/>
      <c r="U149" s="474"/>
      <c r="V149" s="474"/>
      <c r="W149" s="474"/>
      <c r="X149" s="474"/>
      <c r="Y149" s="474"/>
      <c r="Z149" s="474"/>
      <c r="AA149" s="474"/>
      <c r="AB149" s="474"/>
      <c r="AC149" s="474"/>
      <c r="AD149" s="474"/>
      <c r="AE149" s="474"/>
      <c r="AF149" s="474"/>
      <c r="AG149" s="474"/>
      <c r="AH149" s="474"/>
      <c r="AI149" s="474"/>
      <c r="AJ149" s="474"/>
      <c r="AK149" s="474"/>
      <c r="AL149" s="474"/>
      <c r="AM149" s="474"/>
      <c r="AN149" s="474"/>
      <c r="AO149" s="474"/>
      <c r="AP149" s="474"/>
      <c r="AQ149" s="474"/>
      <c r="AR149" s="474"/>
      <c r="AS149" s="474"/>
      <c r="AT149" s="474"/>
      <c r="AU149" s="474"/>
      <c r="AV149" s="474"/>
      <c r="AW149" s="474"/>
      <c r="AX149" s="474"/>
      <c r="AY149" s="474"/>
      <c r="AZ149" s="474"/>
      <c r="BA149" s="474"/>
      <c r="BB149" s="474"/>
      <c r="BC149" s="474"/>
      <c r="BD149" s="474"/>
      <c r="BE149" s="474"/>
      <c r="BF149" s="474"/>
    </row>
    <row r="150" spans="1:58" s="475" customFormat="1" ht="25.2" customHeight="1">
      <c r="A150" s="473"/>
      <c r="B150" s="16" t="s">
        <v>722</v>
      </c>
      <c r="C150" s="22" t="s">
        <v>10</v>
      </c>
      <c r="D150" s="45">
        <v>89827</v>
      </c>
      <c r="E150" s="12"/>
      <c r="F150" s="316" t="s">
        <v>99</v>
      </c>
      <c r="G150" s="318">
        <v>5</v>
      </c>
      <c r="H150" s="16" t="s">
        <v>1</v>
      </c>
      <c r="I150" s="19">
        <v>10.88</v>
      </c>
      <c r="J150" s="19">
        <f t="shared" si="20"/>
        <v>13.1104</v>
      </c>
      <c r="K150" s="228">
        <f t="shared" si="21"/>
        <v>65.552000000000007</v>
      </c>
      <c r="L150" s="242">
        <f>K150/K136</f>
        <v>1.7307202850598117E-2</v>
      </c>
      <c r="M150" s="258"/>
      <c r="N150" s="242"/>
      <c r="O150" s="474"/>
      <c r="P150" s="474"/>
      <c r="Q150" s="474"/>
      <c r="R150" s="474"/>
      <c r="S150" s="474"/>
      <c r="T150" s="474"/>
      <c r="U150" s="474"/>
      <c r="V150" s="474"/>
      <c r="W150" s="474"/>
      <c r="X150" s="474"/>
      <c r="Y150" s="474"/>
      <c r="Z150" s="474"/>
      <c r="AA150" s="474"/>
      <c r="AB150" s="474"/>
      <c r="AC150" s="474"/>
      <c r="AD150" s="474"/>
      <c r="AE150" s="474"/>
      <c r="AF150" s="474"/>
      <c r="AG150" s="474"/>
      <c r="AH150" s="474"/>
      <c r="AI150" s="474"/>
      <c r="AJ150" s="474"/>
      <c r="AK150" s="474"/>
      <c r="AL150" s="474"/>
      <c r="AM150" s="474"/>
      <c r="AN150" s="474"/>
      <c r="AO150" s="474"/>
      <c r="AP150" s="474"/>
      <c r="AQ150" s="474"/>
      <c r="AR150" s="474"/>
      <c r="AS150" s="474"/>
      <c r="AT150" s="474"/>
      <c r="AU150" s="474"/>
      <c r="AV150" s="474"/>
      <c r="AW150" s="474"/>
      <c r="AX150" s="474"/>
      <c r="AY150" s="474"/>
      <c r="AZ150" s="474"/>
      <c r="BA150" s="474"/>
      <c r="BB150" s="474"/>
      <c r="BC150" s="474"/>
      <c r="BD150" s="474"/>
      <c r="BE150" s="474"/>
      <c r="BF150" s="474"/>
    </row>
    <row r="151" spans="1:58" s="475" customFormat="1" ht="25.2" customHeight="1">
      <c r="A151" s="473"/>
      <c r="B151" s="16" t="s">
        <v>723</v>
      </c>
      <c r="C151" s="22" t="s">
        <v>10</v>
      </c>
      <c r="D151" s="45">
        <v>89569</v>
      </c>
      <c r="E151" s="12"/>
      <c r="F151" s="316" t="s">
        <v>100</v>
      </c>
      <c r="G151" s="318">
        <v>7</v>
      </c>
      <c r="H151" s="16" t="s">
        <v>1</v>
      </c>
      <c r="I151" s="19">
        <v>44.9</v>
      </c>
      <c r="J151" s="19">
        <f t="shared" si="20"/>
        <v>54.104500000000002</v>
      </c>
      <c r="K151" s="228">
        <f t="shared" si="21"/>
        <v>378.73149999999998</v>
      </c>
      <c r="L151" s="242">
        <f>K151/K136</f>
        <v>9.9993637057775503E-2</v>
      </c>
      <c r="M151" s="258"/>
      <c r="N151" s="242"/>
      <c r="O151" s="474"/>
      <c r="P151" s="474"/>
      <c r="Q151" s="474"/>
      <c r="R151" s="474"/>
      <c r="S151" s="474"/>
      <c r="T151" s="474"/>
      <c r="U151" s="474"/>
      <c r="V151" s="474"/>
      <c r="W151" s="474"/>
      <c r="X151" s="474"/>
      <c r="Y151" s="474"/>
      <c r="Z151" s="474"/>
      <c r="AA151" s="474"/>
      <c r="AB151" s="474"/>
      <c r="AC151" s="474"/>
      <c r="AD151" s="474"/>
      <c r="AE151" s="474"/>
      <c r="AF151" s="474"/>
      <c r="AG151" s="474"/>
      <c r="AH151" s="474"/>
      <c r="AI151" s="474"/>
      <c r="AJ151" s="474"/>
      <c r="AK151" s="474"/>
      <c r="AL151" s="474"/>
      <c r="AM151" s="474"/>
      <c r="AN151" s="474"/>
      <c r="AO151" s="474"/>
      <c r="AP151" s="474"/>
      <c r="AQ151" s="474"/>
      <c r="AR151" s="474"/>
      <c r="AS151" s="474"/>
      <c r="AT151" s="474"/>
      <c r="AU151" s="474"/>
      <c r="AV151" s="474"/>
      <c r="AW151" s="474"/>
      <c r="AX151" s="474"/>
      <c r="AY151" s="474"/>
      <c r="AZ151" s="474"/>
      <c r="BA151" s="474"/>
      <c r="BB151" s="474"/>
      <c r="BC151" s="474"/>
      <c r="BD151" s="474"/>
      <c r="BE151" s="474"/>
      <c r="BF151" s="474"/>
    </row>
    <row r="152" spans="1:58" s="475" customFormat="1" ht="25.2" customHeight="1">
      <c r="A152" s="473"/>
      <c r="B152" s="16" t="s">
        <v>724</v>
      </c>
      <c r="C152" s="22" t="s">
        <v>10</v>
      </c>
      <c r="D152" s="45">
        <v>89834</v>
      </c>
      <c r="E152" s="12"/>
      <c r="F152" s="316" t="s">
        <v>101</v>
      </c>
      <c r="G152" s="318">
        <v>6</v>
      </c>
      <c r="H152" s="16" t="s">
        <v>1</v>
      </c>
      <c r="I152" s="19">
        <v>25.24</v>
      </c>
      <c r="J152" s="19">
        <f t="shared" si="20"/>
        <v>30.414199999999997</v>
      </c>
      <c r="K152" s="228">
        <f t="shared" si="21"/>
        <v>182.48519999999999</v>
      </c>
      <c r="L152" s="242">
        <f>K152/K136</f>
        <v>4.8180198523797402E-2</v>
      </c>
      <c r="M152" s="258"/>
      <c r="N152" s="242"/>
      <c r="O152" s="474"/>
      <c r="P152" s="474"/>
      <c r="Q152" s="474"/>
      <c r="R152" s="474"/>
      <c r="S152" s="474"/>
      <c r="T152" s="474"/>
      <c r="U152" s="474"/>
      <c r="V152" s="474"/>
      <c r="W152" s="474"/>
      <c r="X152" s="474"/>
      <c r="Y152" s="474"/>
      <c r="Z152" s="474"/>
      <c r="AA152" s="474"/>
      <c r="AB152" s="474"/>
      <c r="AC152" s="474"/>
      <c r="AD152" s="474"/>
      <c r="AE152" s="474"/>
      <c r="AF152" s="474"/>
      <c r="AG152" s="474"/>
      <c r="AH152" s="474"/>
      <c r="AI152" s="474"/>
      <c r="AJ152" s="474"/>
      <c r="AK152" s="474"/>
      <c r="AL152" s="474"/>
      <c r="AM152" s="474"/>
      <c r="AN152" s="474"/>
      <c r="AO152" s="474"/>
      <c r="AP152" s="474"/>
      <c r="AQ152" s="474"/>
      <c r="AR152" s="474"/>
      <c r="AS152" s="474"/>
      <c r="AT152" s="474"/>
      <c r="AU152" s="474"/>
      <c r="AV152" s="474"/>
      <c r="AW152" s="474"/>
      <c r="AX152" s="474"/>
      <c r="AY152" s="474"/>
      <c r="AZ152" s="474"/>
      <c r="BA152" s="474"/>
      <c r="BB152" s="474"/>
      <c r="BC152" s="474"/>
      <c r="BD152" s="474"/>
      <c r="BE152" s="474"/>
      <c r="BF152" s="474"/>
    </row>
    <row r="153" spans="1:58" s="475" customFormat="1" ht="25.2" customHeight="1">
      <c r="A153" s="473"/>
      <c r="B153" s="16" t="s">
        <v>725</v>
      </c>
      <c r="C153" s="22" t="s">
        <v>10</v>
      </c>
      <c r="D153" s="45" t="s">
        <v>904</v>
      </c>
      <c r="E153" s="16"/>
      <c r="F153" s="316" t="s">
        <v>485</v>
      </c>
      <c r="G153" s="318">
        <v>2</v>
      </c>
      <c r="H153" s="16" t="s">
        <v>1</v>
      </c>
      <c r="I153" s="19">
        <v>112.68</v>
      </c>
      <c r="J153" s="19">
        <f t="shared" si="20"/>
        <v>135.77940000000001</v>
      </c>
      <c r="K153" s="228">
        <f t="shared" si="21"/>
        <v>271.55880000000002</v>
      </c>
      <c r="L153" s="242">
        <f>K153/K136</f>
        <v>7.169763298549249E-2</v>
      </c>
      <c r="M153" s="258"/>
      <c r="N153" s="242"/>
      <c r="O153" s="474"/>
      <c r="P153" s="474"/>
      <c r="Q153" s="474"/>
      <c r="R153" s="474"/>
      <c r="S153" s="474"/>
      <c r="T153" s="474"/>
      <c r="U153" s="474"/>
      <c r="V153" s="474"/>
      <c r="W153" s="474"/>
      <c r="X153" s="474"/>
      <c r="Y153" s="474"/>
      <c r="Z153" s="474"/>
      <c r="AA153" s="474"/>
      <c r="AB153" s="474"/>
      <c r="AC153" s="474"/>
      <c r="AD153" s="474"/>
      <c r="AE153" s="474"/>
      <c r="AF153" s="474"/>
      <c r="AG153" s="474"/>
      <c r="AH153" s="474"/>
      <c r="AI153" s="474"/>
      <c r="AJ153" s="474"/>
      <c r="AK153" s="474"/>
      <c r="AL153" s="474"/>
      <c r="AM153" s="474"/>
      <c r="AN153" s="474"/>
      <c r="AO153" s="474"/>
      <c r="AP153" s="474"/>
      <c r="AQ153" s="474"/>
      <c r="AR153" s="474"/>
      <c r="AS153" s="474"/>
      <c r="AT153" s="474"/>
      <c r="AU153" s="474"/>
      <c r="AV153" s="474"/>
      <c r="AW153" s="474"/>
      <c r="AX153" s="474"/>
      <c r="AY153" s="474"/>
      <c r="AZ153" s="474"/>
      <c r="BA153" s="474"/>
      <c r="BB153" s="474"/>
      <c r="BC153" s="474"/>
      <c r="BD153" s="474"/>
      <c r="BE153" s="474"/>
      <c r="BF153" s="474"/>
    </row>
    <row r="154" spans="1:58" s="475" customFormat="1" ht="25.2" customHeight="1">
      <c r="A154" s="473"/>
      <c r="B154" s="16" t="s">
        <v>726</v>
      </c>
      <c r="C154" s="22" t="s">
        <v>10</v>
      </c>
      <c r="D154" s="45">
        <v>89784</v>
      </c>
      <c r="E154" s="12"/>
      <c r="F154" s="316" t="s">
        <v>102</v>
      </c>
      <c r="G154" s="318">
        <v>5</v>
      </c>
      <c r="H154" s="16" t="s">
        <v>1</v>
      </c>
      <c r="I154" s="19">
        <v>14.31</v>
      </c>
      <c r="J154" s="19">
        <f t="shared" si="20"/>
        <v>17.243549999999999</v>
      </c>
      <c r="K154" s="228">
        <f t="shared" si="21"/>
        <v>86.217749999999995</v>
      </c>
      <c r="L154" s="242">
        <f>K154/K136</f>
        <v>2.2763425808093662E-2</v>
      </c>
      <c r="M154" s="258"/>
      <c r="N154" s="242"/>
      <c r="O154" s="474"/>
      <c r="P154" s="474"/>
      <c r="Q154" s="474"/>
      <c r="R154" s="474"/>
      <c r="S154" s="474"/>
      <c r="T154" s="474"/>
      <c r="U154" s="474"/>
      <c r="V154" s="474"/>
      <c r="W154" s="474"/>
      <c r="X154" s="474"/>
      <c r="Y154" s="474"/>
      <c r="Z154" s="474"/>
      <c r="AA154" s="474"/>
      <c r="AB154" s="474"/>
      <c r="AC154" s="474"/>
      <c r="AD154" s="474"/>
      <c r="AE154" s="474"/>
      <c r="AF154" s="474"/>
      <c r="AG154" s="474"/>
      <c r="AH154" s="474"/>
      <c r="AI154" s="474"/>
      <c r="AJ154" s="474"/>
      <c r="AK154" s="474"/>
      <c r="AL154" s="474"/>
      <c r="AM154" s="474"/>
      <c r="AN154" s="474"/>
      <c r="AO154" s="474"/>
      <c r="AP154" s="474"/>
      <c r="AQ154" s="474"/>
      <c r="AR154" s="474"/>
      <c r="AS154" s="474"/>
      <c r="AT154" s="474"/>
      <c r="AU154" s="474"/>
      <c r="AV154" s="474"/>
      <c r="AW154" s="474"/>
      <c r="AX154" s="474"/>
      <c r="AY154" s="474"/>
      <c r="AZ154" s="474"/>
      <c r="BA154" s="474"/>
      <c r="BB154" s="474"/>
      <c r="BC154" s="474"/>
      <c r="BD154" s="474"/>
      <c r="BE154" s="474"/>
      <c r="BF154" s="474"/>
    </row>
    <row r="155" spans="1:58" s="475" customFormat="1" ht="25.2" customHeight="1">
      <c r="A155" s="473"/>
      <c r="B155" s="16" t="s">
        <v>727</v>
      </c>
      <c r="C155" s="16" t="s">
        <v>12</v>
      </c>
      <c r="D155" s="45" t="s">
        <v>486</v>
      </c>
      <c r="E155" s="16"/>
      <c r="F155" s="316" t="s">
        <v>487</v>
      </c>
      <c r="G155" s="318">
        <v>5</v>
      </c>
      <c r="H155" s="16" t="s">
        <v>1</v>
      </c>
      <c r="I155" s="19">
        <v>30.78</v>
      </c>
      <c r="J155" s="19">
        <f t="shared" si="20"/>
        <v>37.0899</v>
      </c>
      <c r="K155" s="228">
        <f t="shared" si="21"/>
        <v>185.4495</v>
      </c>
      <c r="L155" s="242">
        <f>K155/K136</f>
        <v>4.8962840417409011E-2</v>
      </c>
      <c r="M155" s="258"/>
      <c r="N155" s="242"/>
      <c r="O155" s="474"/>
      <c r="P155" s="474"/>
      <c r="Q155" s="474"/>
      <c r="R155" s="474"/>
      <c r="S155" s="474"/>
      <c r="T155" s="474"/>
      <c r="U155" s="474"/>
      <c r="V155" s="474"/>
      <c r="W155" s="474"/>
      <c r="X155" s="474"/>
      <c r="Y155" s="474"/>
      <c r="Z155" s="474"/>
      <c r="AA155" s="474"/>
      <c r="AB155" s="474"/>
      <c r="AC155" s="474"/>
      <c r="AD155" s="474"/>
      <c r="AE155" s="474"/>
      <c r="AF155" s="474"/>
      <c r="AG155" s="474"/>
      <c r="AH155" s="474"/>
      <c r="AI155" s="474"/>
      <c r="AJ155" s="474"/>
      <c r="AK155" s="474"/>
      <c r="AL155" s="474"/>
      <c r="AM155" s="474"/>
      <c r="AN155" s="474"/>
      <c r="AO155" s="474"/>
      <c r="AP155" s="474"/>
      <c r="AQ155" s="474"/>
      <c r="AR155" s="474"/>
      <c r="AS155" s="474"/>
      <c r="AT155" s="474"/>
      <c r="AU155" s="474"/>
      <c r="AV155" s="474"/>
      <c r="AW155" s="474"/>
      <c r="AX155" s="474"/>
      <c r="AY155" s="474"/>
      <c r="AZ155" s="474"/>
      <c r="BA155" s="474"/>
      <c r="BB155" s="474"/>
      <c r="BC155" s="474"/>
      <c r="BD155" s="474"/>
      <c r="BE155" s="474"/>
      <c r="BF155" s="474"/>
    </row>
    <row r="156" spans="1:58" s="475" customFormat="1" ht="25.2" customHeight="1">
      <c r="A156" s="473"/>
      <c r="B156" s="16" t="s">
        <v>728</v>
      </c>
      <c r="C156" s="22" t="s">
        <v>10</v>
      </c>
      <c r="D156" s="45">
        <v>89796</v>
      </c>
      <c r="E156" s="12"/>
      <c r="F156" s="316" t="s">
        <v>103</v>
      </c>
      <c r="G156" s="318">
        <v>10</v>
      </c>
      <c r="H156" s="16" t="s">
        <v>1</v>
      </c>
      <c r="I156" s="19">
        <v>28.87</v>
      </c>
      <c r="J156" s="19">
        <f t="shared" si="20"/>
        <v>34.788350000000001</v>
      </c>
      <c r="K156" s="228">
        <f t="shared" si="21"/>
        <v>347.88350000000003</v>
      </c>
      <c r="L156" s="242">
        <f>K156/K136</f>
        <v>9.1849071010435226E-2</v>
      </c>
      <c r="M156" s="258"/>
      <c r="N156" s="242"/>
      <c r="O156" s="474"/>
      <c r="P156" s="474"/>
      <c r="Q156" s="474"/>
      <c r="R156" s="474"/>
      <c r="S156" s="474"/>
      <c r="T156" s="474"/>
      <c r="U156" s="474"/>
      <c r="V156" s="474"/>
      <c r="W156" s="474"/>
      <c r="X156" s="474"/>
      <c r="Y156" s="474"/>
      <c r="Z156" s="474"/>
      <c r="AA156" s="474"/>
      <c r="AB156" s="474"/>
      <c r="AC156" s="474"/>
      <c r="AD156" s="474"/>
      <c r="AE156" s="474"/>
      <c r="AF156" s="474"/>
      <c r="AG156" s="474"/>
      <c r="AH156" s="474"/>
      <c r="AI156" s="474"/>
      <c r="AJ156" s="474"/>
      <c r="AK156" s="474"/>
      <c r="AL156" s="474"/>
      <c r="AM156" s="474"/>
      <c r="AN156" s="474"/>
      <c r="AO156" s="474"/>
      <c r="AP156" s="474"/>
      <c r="AQ156" s="474"/>
      <c r="AR156" s="474"/>
      <c r="AS156" s="474"/>
      <c r="AT156" s="474"/>
      <c r="AU156" s="474"/>
      <c r="AV156" s="474"/>
      <c r="AW156" s="474"/>
      <c r="AX156" s="474"/>
      <c r="AY156" s="474"/>
      <c r="AZ156" s="474"/>
      <c r="BA156" s="474"/>
      <c r="BB156" s="474"/>
      <c r="BC156" s="474"/>
      <c r="BD156" s="474"/>
      <c r="BE156" s="474"/>
      <c r="BF156" s="474"/>
    </row>
    <row r="157" spans="1:58" s="475" customFormat="1" ht="25.2" customHeight="1">
      <c r="A157" s="473"/>
      <c r="B157" s="16" t="s">
        <v>729</v>
      </c>
      <c r="C157" s="22" t="s">
        <v>231</v>
      </c>
      <c r="D157" s="45" t="s">
        <v>558</v>
      </c>
      <c r="E157" s="12"/>
      <c r="F157" s="316" t="s">
        <v>104</v>
      </c>
      <c r="G157" s="318">
        <v>3</v>
      </c>
      <c r="H157" s="16" t="s">
        <v>1</v>
      </c>
      <c r="I157" s="19">
        <f>Cotação!E49</f>
        <v>35.72</v>
      </c>
      <c r="J157" s="19">
        <f t="shared" si="20"/>
        <v>43.0426</v>
      </c>
      <c r="K157" s="228">
        <f t="shared" si="21"/>
        <v>129.12780000000001</v>
      </c>
      <c r="L157" s="242">
        <f>K157/K136</f>
        <v>3.4092644438788497E-2</v>
      </c>
      <c r="M157" s="258"/>
      <c r="N157" s="242"/>
      <c r="O157" s="474"/>
      <c r="P157" s="474"/>
      <c r="Q157" s="474"/>
      <c r="R157" s="474"/>
      <c r="S157" s="474"/>
      <c r="T157" s="474"/>
      <c r="U157" s="474"/>
      <c r="V157" s="474"/>
      <c r="W157" s="474"/>
      <c r="X157" s="474"/>
      <c r="Y157" s="474"/>
      <c r="Z157" s="474"/>
      <c r="AA157" s="474"/>
      <c r="AB157" s="474"/>
      <c r="AC157" s="474"/>
      <c r="AD157" s="474"/>
      <c r="AE157" s="474"/>
      <c r="AF157" s="474"/>
      <c r="AG157" s="474"/>
      <c r="AH157" s="474"/>
      <c r="AI157" s="474"/>
      <c r="AJ157" s="474"/>
      <c r="AK157" s="474"/>
      <c r="AL157" s="474"/>
      <c r="AM157" s="474"/>
      <c r="AN157" s="474"/>
      <c r="AO157" s="474"/>
      <c r="AP157" s="474"/>
      <c r="AQ157" s="474"/>
      <c r="AR157" s="474"/>
      <c r="AS157" s="474"/>
      <c r="AT157" s="474"/>
      <c r="AU157" s="474"/>
      <c r="AV157" s="474"/>
      <c r="AW157" s="474"/>
      <c r="AX157" s="474"/>
      <c r="AY157" s="474"/>
      <c r="AZ157" s="474"/>
      <c r="BA157" s="474"/>
      <c r="BB157" s="474"/>
      <c r="BC157" s="474"/>
      <c r="BD157" s="474"/>
      <c r="BE157" s="474"/>
      <c r="BF157" s="474"/>
    </row>
    <row r="158" spans="1:58" s="475" customFormat="1" ht="25.2" customHeight="1">
      <c r="A158" s="473"/>
      <c r="B158" s="16" t="s">
        <v>730</v>
      </c>
      <c r="C158" s="16" t="s">
        <v>231</v>
      </c>
      <c r="D158" s="45" t="s">
        <v>560</v>
      </c>
      <c r="E158" s="12"/>
      <c r="F158" s="316" t="s">
        <v>105</v>
      </c>
      <c r="G158" s="318">
        <v>12</v>
      </c>
      <c r="H158" s="16" t="s">
        <v>1</v>
      </c>
      <c r="I158" s="19">
        <f>Cotação!E55</f>
        <v>31.37</v>
      </c>
      <c r="J158" s="19">
        <f t="shared" si="20"/>
        <v>37.800849999999997</v>
      </c>
      <c r="K158" s="228">
        <f t="shared" si="21"/>
        <v>453.61019999999996</v>
      </c>
      <c r="L158" s="242">
        <f>K158/K136</f>
        <v>0.11976329854924916</v>
      </c>
      <c r="M158" s="258"/>
      <c r="N158" s="242"/>
      <c r="O158" s="474"/>
      <c r="P158" s="474"/>
      <c r="Q158" s="474"/>
      <c r="R158" s="474"/>
      <c r="S158" s="474"/>
      <c r="T158" s="474"/>
      <c r="U158" s="474"/>
      <c r="V158" s="474"/>
      <c r="W158" s="474"/>
      <c r="X158" s="474"/>
      <c r="Y158" s="474"/>
      <c r="Z158" s="474"/>
      <c r="AA158" s="474"/>
      <c r="AB158" s="474"/>
      <c r="AC158" s="474"/>
      <c r="AD158" s="474"/>
      <c r="AE158" s="474"/>
      <c r="AF158" s="474"/>
      <c r="AG158" s="474"/>
      <c r="AH158" s="474"/>
      <c r="AI158" s="474"/>
      <c r="AJ158" s="474"/>
      <c r="AK158" s="474"/>
      <c r="AL158" s="474"/>
      <c r="AM158" s="474"/>
      <c r="AN158" s="474"/>
      <c r="AO158" s="474"/>
      <c r="AP158" s="474"/>
      <c r="AQ158" s="474"/>
      <c r="AR158" s="474"/>
      <c r="AS158" s="474"/>
      <c r="AT158" s="474"/>
      <c r="AU158" s="474"/>
      <c r="AV158" s="474"/>
      <c r="AW158" s="474"/>
      <c r="AX158" s="474"/>
      <c r="AY158" s="474"/>
      <c r="AZ158" s="474"/>
      <c r="BA158" s="474"/>
      <c r="BB158" s="474"/>
      <c r="BC158" s="474"/>
      <c r="BD158" s="474"/>
      <c r="BE158" s="474"/>
      <c r="BF158" s="474"/>
    </row>
    <row r="159" spans="1:58" ht="25.2" customHeight="1">
      <c r="B159" s="278"/>
      <c r="C159" s="194"/>
      <c r="D159" s="193"/>
      <c r="E159" s="281"/>
      <c r="F159" s="513"/>
      <c r="G159" s="514"/>
      <c r="H159" s="194"/>
      <c r="I159" s="197"/>
      <c r="J159" s="197"/>
      <c r="K159" s="227"/>
    </row>
    <row r="160" spans="1:58" ht="25.2" customHeight="1">
      <c r="B160" s="26" t="s">
        <v>153</v>
      </c>
      <c r="C160" s="533" t="s">
        <v>106</v>
      </c>
      <c r="D160" s="533"/>
      <c r="E160" s="533"/>
      <c r="F160" s="533"/>
      <c r="G160" s="533"/>
      <c r="H160" s="533"/>
      <c r="I160" s="533"/>
      <c r="J160" s="533"/>
      <c r="K160" s="234">
        <f>SUM(K161)</f>
        <v>491.27850000000001</v>
      </c>
      <c r="L160" s="240">
        <f>SUM(L161)</f>
        <v>1</v>
      </c>
      <c r="M160" s="256">
        <f>K160/K206</f>
        <v>1.8180820267025433E-2</v>
      </c>
      <c r="N160" s="240">
        <f>K160/K398</f>
        <v>7.5590560898517595E-4</v>
      </c>
    </row>
    <row r="161" spans="1:58" s="475" customFormat="1" ht="25.2" customHeight="1">
      <c r="A161" s="473"/>
      <c r="B161" s="16" t="s">
        <v>731</v>
      </c>
      <c r="C161" s="16" t="s">
        <v>231</v>
      </c>
      <c r="D161" s="45" t="s">
        <v>181</v>
      </c>
      <c r="E161" s="12"/>
      <c r="F161" s="316" t="s">
        <v>107</v>
      </c>
      <c r="G161" s="173">
        <v>1</v>
      </c>
      <c r="H161" s="16" t="s">
        <v>1</v>
      </c>
      <c r="I161" s="19">
        <f>Cotação!E63</f>
        <v>407.7</v>
      </c>
      <c r="J161" s="19">
        <f>I161*$I$3+I161</f>
        <v>491.27850000000001</v>
      </c>
      <c r="K161" s="228">
        <f>G161*J161</f>
        <v>491.27850000000001</v>
      </c>
      <c r="L161" s="242">
        <f>K160/K161</f>
        <v>1</v>
      </c>
      <c r="M161" s="258"/>
      <c r="N161" s="242"/>
      <c r="O161" s="474"/>
      <c r="P161" s="474"/>
      <c r="Q161" s="474"/>
      <c r="R161" s="474"/>
      <c r="S161" s="474"/>
      <c r="T161" s="474"/>
      <c r="U161" s="474"/>
      <c r="V161" s="474"/>
      <c r="W161" s="474"/>
      <c r="X161" s="474"/>
      <c r="Y161" s="474"/>
      <c r="Z161" s="474"/>
      <c r="AA161" s="474"/>
      <c r="AB161" s="474"/>
      <c r="AC161" s="474"/>
      <c r="AD161" s="474"/>
      <c r="AE161" s="474"/>
      <c r="AF161" s="474"/>
      <c r="AG161" s="474"/>
      <c r="AH161" s="474"/>
      <c r="AI161" s="474"/>
      <c r="AJ161" s="474"/>
      <c r="AK161" s="474"/>
      <c r="AL161" s="474"/>
      <c r="AM161" s="474"/>
      <c r="AN161" s="474"/>
      <c r="AO161" s="474"/>
      <c r="AP161" s="474"/>
      <c r="AQ161" s="474"/>
      <c r="AR161" s="474"/>
      <c r="AS161" s="474"/>
      <c r="AT161" s="474"/>
      <c r="AU161" s="474"/>
      <c r="AV161" s="474"/>
      <c r="AW161" s="474"/>
      <c r="AX161" s="474"/>
      <c r="AY161" s="474"/>
      <c r="AZ161" s="474"/>
      <c r="BA161" s="474"/>
      <c r="BB161" s="474"/>
      <c r="BC161" s="474"/>
      <c r="BD161" s="474"/>
      <c r="BE161" s="474"/>
      <c r="BF161" s="474"/>
    </row>
    <row r="162" spans="1:58" customFormat="1" ht="25.2" customHeight="1">
      <c r="B162" s="494"/>
      <c r="C162" s="495"/>
      <c r="D162" s="496"/>
      <c r="E162" s="495"/>
      <c r="F162" s="497"/>
      <c r="G162" s="498"/>
      <c r="H162" s="495"/>
      <c r="I162" s="495"/>
      <c r="J162" s="495"/>
      <c r="K162" s="495"/>
      <c r="L162" s="499"/>
      <c r="M162" s="496"/>
      <c r="N162" s="501"/>
    </row>
    <row r="163" spans="1:58" ht="25.2" customHeight="1">
      <c r="B163" s="26" t="s">
        <v>154</v>
      </c>
      <c r="C163" s="533" t="s">
        <v>108</v>
      </c>
      <c r="D163" s="533"/>
      <c r="E163" s="533"/>
      <c r="F163" s="533"/>
      <c r="G163" s="533"/>
      <c r="H163" s="533"/>
      <c r="I163" s="533"/>
      <c r="J163" s="533"/>
      <c r="K163" s="234">
        <f>SUM(K164:K171)</f>
        <v>1687.4820000000002</v>
      </c>
      <c r="L163" s="240">
        <f>SUM(L164:L171)</f>
        <v>0.99999999999999989</v>
      </c>
      <c r="M163" s="256">
        <f>K163/K206</f>
        <v>6.2448910232873238E-2</v>
      </c>
      <c r="N163" s="240">
        <f>K163/K398</f>
        <v>2.5964439902448873E-3</v>
      </c>
    </row>
    <row r="164" spans="1:58" s="475" customFormat="1" ht="25.2" customHeight="1">
      <c r="A164" s="473"/>
      <c r="B164" s="16" t="s">
        <v>732</v>
      </c>
      <c r="C164" s="22" t="s">
        <v>10</v>
      </c>
      <c r="D164" s="45" t="s">
        <v>590</v>
      </c>
      <c r="E164" s="12"/>
      <c r="F164" s="515" t="s">
        <v>589</v>
      </c>
      <c r="G164" s="318">
        <v>9</v>
      </c>
      <c r="H164" s="16" t="s">
        <v>1</v>
      </c>
      <c r="I164" s="19">
        <v>73.17</v>
      </c>
      <c r="J164" s="19">
        <f t="shared" ref="J164:J171" si="26">I164*$I$3+I164</f>
        <v>88.169849999999997</v>
      </c>
      <c r="K164" s="228">
        <f t="shared" ref="K164:K171" si="27">G164*J164</f>
        <v>793.52864999999997</v>
      </c>
      <c r="L164" s="242">
        <f>K164/K163</f>
        <v>0.47024421593830329</v>
      </c>
      <c r="M164" s="258"/>
      <c r="N164" s="242"/>
      <c r="O164" s="474"/>
      <c r="P164" s="474"/>
      <c r="Q164" s="474"/>
      <c r="R164" s="474"/>
      <c r="S164" s="474"/>
      <c r="T164" s="474"/>
      <c r="U164" s="474"/>
      <c r="V164" s="474"/>
      <c r="W164" s="474"/>
      <c r="X164" s="474"/>
      <c r="Y164" s="474"/>
      <c r="Z164" s="474"/>
      <c r="AA164" s="474"/>
      <c r="AB164" s="474"/>
      <c r="AC164" s="474"/>
      <c r="AD164" s="474"/>
      <c r="AE164" s="474"/>
      <c r="AF164" s="474"/>
      <c r="AG164" s="474"/>
      <c r="AH164" s="474"/>
      <c r="AI164" s="474"/>
      <c r="AJ164" s="474"/>
      <c r="AK164" s="474"/>
      <c r="AL164" s="474"/>
      <c r="AM164" s="474"/>
      <c r="AN164" s="474"/>
      <c r="AO164" s="474"/>
      <c r="AP164" s="474"/>
      <c r="AQ164" s="474"/>
      <c r="AR164" s="474"/>
      <c r="AS164" s="474"/>
      <c r="AT164" s="474"/>
      <c r="AU164" s="474"/>
      <c r="AV164" s="474"/>
      <c r="AW164" s="474"/>
      <c r="AX164" s="474"/>
      <c r="AY164" s="474"/>
      <c r="AZ164" s="474"/>
      <c r="BA164" s="474"/>
      <c r="BB164" s="474"/>
      <c r="BC164" s="474"/>
      <c r="BD164" s="474"/>
      <c r="BE164" s="474"/>
      <c r="BF164" s="474"/>
    </row>
    <row r="165" spans="1:58" s="475" customFormat="1" ht="25.2" customHeight="1">
      <c r="A165" s="473"/>
      <c r="B165" s="16" t="s">
        <v>733</v>
      </c>
      <c r="C165" s="22" t="s">
        <v>10</v>
      </c>
      <c r="D165" s="45">
        <v>94496</v>
      </c>
      <c r="E165" s="12"/>
      <c r="F165" s="316" t="s">
        <v>110</v>
      </c>
      <c r="G165" s="318">
        <v>1</v>
      </c>
      <c r="H165" s="16" t="s">
        <v>1</v>
      </c>
      <c r="I165" s="19">
        <v>86.78</v>
      </c>
      <c r="J165" s="19">
        <f t="shared" si="26"/>
        <v>104.5699</v>
      </c>
      <c r="K165" s="228">
        <f t="shared" si="27"/>
        <v>104.5699</v>
      </c>
      <c r="L165" s="242">
        <f>K165/K163</f>
        <v>6.1968009140245639E-2</v>
      </c>
      <c r="M165" s="258"/>
      <c r="N165" s="242"/>
      <c r="O165" s="474"/>
      <c r="P165" s="474"/>
      <c r="Q165" s="474"/>
      <c r="R165" s="474"/>
      <c r="S165" s="474"/>
      <c r="T165" s="474"/>
      <c r="U165" s="474"/>
      <c r="V165" s="474"/>
      <c r="W165" s="474"/>
      <c r="X165" s="474"/>
      <c r="Y165" s="474"/>
      <c r="Z165" s="474"/>
      <c r="AA165" s="474"/>
      <c r="AB165" s="474"/>
      <c r="AC165" s="474"/>
      <c r="AD165" s="474"/>
      <c r="AE165" s="474"/>
      <c r="AF165" s="474"/>
      <c r="AG165" s="474"/>
      <c r="AH165" s="474"/>
      <c r="AI165" s="474"/>
      <c r="AJ165" s="474"/>
      <c r="AK165" s="474"/>
      <c r="AL165" s="474"/>
      <c r="AM165" s="474"/>
      <c r="AN165" s="474"/>
      <c r="AO165" s="474"/>
      <c r="AP165" s="474"/>
      <c r="AQ165" s="474"/>
      <c r="AR165" s="474"/>
      <c r="AS165" s="474"/>
      <c r="AT165" s="474"/>
      <c r="AU165" s="474"/>
      <c r="AV165" s="474"/>
      <c r="AW165" s="474"/>
      <c r="AX165" s="474"/>
      <c r="AY165" s="474"/>
      <c r="AZ165" s="474"/>
      <c r="BA165" s="474"/>
      <c r="BB165" s="474"/>
      <c r="BC165" s="474"/>
      <c r="BD165" s="474"/>
      <c r="BE165" s="474"/>
      <c r="BF165" s="474"/>
    </row>
    <row r="166" spans="1:58" s="475" customFormat="1" ht="25.2" customHeight="1">
      <c r="A166" s="473"/>
      <c r="B166" s="16" t="s">
        <v>734</v>
      </c>
      <c r="C166" s="22" t="s">
        <v>10</v>
      </c>
      <c r="D166" s="45">
        <v>94495</v>
      </c>
      <c r="E166" s="12"/>
      <c r="F166" s="316" t="s">
        <v>111</v>
      </c>
      <c r="G166" s="318">
        <v>3</v>
      </c>
      <c r="H166" s="16" t="s">
        <v>1</v>
      </c>
      <c r="I166" s="19">
        <v>71.5</v>
      </c>
      <c r="J166" s="19">
        <f t="shared" si="26"/>
        <v>86.157499999999999</v>
      </c>
      <c r="K166" s="228">
        <f t="shared" si="27"/>
        <v>258.47249999999997</v>
      </c>
      <c r="L166" s="242">
        <f>K166/K163</f>
        <v>0.15317052270779774</v>
      </c>
      <c r="M166" s="258"/>
      <c r="N166" s="242"/>
      <c r="O166" s="474"/>
      <c r="P166" s="474"/>
      <c r="Q166" s="474"/>
      <c r="R166" s="474"/>
      <c r="S166" s="474"/>
      <c r="T166" s="474"/>
      <c r="U166" s="474"/>
      <c r="V166" s="474"/>
      <c r="W166" s="474"/>
      <c r="X166" s="474"/>
      <c r="Y166" s="474"/>
      <c r="Z166" s="474"/>
      <c r="AA166" s="474"/>
      <c r="AB166" s="474"/>
      <c r="AC166" s="474"/>
      <c r="AD166" s="474"/>
      <c r="AE166" s="474"/>
      <c r="AF166" s="474"/>
      <c r="AG166" s="474"/>
      <c r="AH166" s="474"/>
      <c r="AI166" s="474"/>
      <c r="AJ166" s="474"/>
      <c r="AK166" s="474"/>
      <c r="AL166" s="474"/>
      <c r="AM166" s="474"/>
      <c r="AN166" s="474"/>
      <c r="AO166" s="474"/>
      <c r="AP166" s="474"/>
      <c r="AQ166" s="474"/>
      <c r="AR166" s="474"/>
      <c r="AS166" s="474"/>
      <c r="AT166" s="474"/>
      <c r="AU166" s="474"/>
      <c r="AV166" s="474"/>
      <c r="AW166" s="474"/>
      <c r="AX166" s="474"/>
      <c r="AY166" s="474"/>
      <c r="AZ166" s="474"/>
      <c r="BA166" s="474"/>
      <c r="BB166" s="474"/>
      <c r="BC166" s="474"/>
      <c r="BD166" s="474"/>
      <c r="BE166" s="474"/>
      <c r="BF166" s="474"/>
    </row>
    <row r="167" spans="1:58" s="475" customFormat="1" ht="25.2" customHeight="1">
      <c r="A167" s="473"/>
      <c r="B167" s="16" t="s">
        <v>735</v>
      </c>
      <c r="C167" s="22" t="s">
        <v>10</v>
      </c>
      <c r="D167" s="45">
        <v>94489</v>
      </c>
      <c r="E167" s="12"/>
      <c r="F167" s="316" t="s">
        <v>112</v>
      </c>
      <c r="G167" s="318">
        <v>2</v>
      </c>
      <c r="H167" s="16" t="s">
        <v>1</v>
      </c>
      <c r="I167" s="19">
        <v>19.21</v>
      </c>
      <c r="J167" s="19">
        <f t="shared" si="26"/>
        <v>23.148050000000001</v>
      </c>
      <c r="K167" s="228">
        <f t="shared" si="27"/>
        <v>46.296100000000003</v>
      </c>
      <c r="L167" s="242">
        <f>K167/K163</f>
        <v>2.7435018566123962E-2</v>
      </c>
      <c r="M167" s="258"/>
      <c r="N167" s="242"/>
      <c r="O167" s="474"/>
      <c r="P167" s="474"/>
      <c r="Q167" s="474"/>
      <c r="R167" s="474"/>
      <c r="S167" s="474"/>
      <c r="T167" s="474"/>
      <c r="U167" s="474"/>
      <c r="V167" s="474"/>
      <c r="W167" s="474"/>
      <c r="X167" s="474"/>
      <c r="Y167" s="474"/>
      <c r="Z167" s="474"/>
      <c r="AA167" s="474"/>
      <c r="AB167" s="474"/>
      <c r="AC167" s="474"/>
      <c r="AD167" s="474"/>
      <c r="AE167" s="474"/>
      <c r="AF167" s="474"/>
      <c r="AG167" s="474"/>
      <c r="AH167" s="474"/>
      <c r="AI167" s="474"/>
      <c r="AJ167" s="474"/>
      <c r="AK167" s="474"/>
      <c r="AL167" s="474"/>
      <c r="AM167" s="474"/>
      <c r="AN167" s="474"/>
      <c r="AO167" s="474"/>
      <c r="AP167" s="474"/>
      <c r="AQ167" s="474"/>
      <c r="AR167" s="474"/>
      <c r="AS167" s="474"/>
      <c r="AT167" s="474"/>
      <c r="AU167" s="474"/>
      <c r="AV167" s="474"/>
      <c r="AW167" s="474"/>
      <c r="AX167" s="474"/>
      <c r="AY167" s="474"/>
      <c r="AZ167" s="474"/>
      <c r="BA167" s="474"/>
      <c r="BB167" s="474"/>
      <c r="BC167" s="474"/>
      <c r="BD167" s="474"/>
      <c r="BE167" s="474"/>
      <c r="BF167" s="474"/>
    </row>
    <row r="168" spans="1:58" s="475" customFormat="1" ht="25.2" customHeight="1">
      <c r="A168" s="473"/>
      <c r="B168" s="16" t="s">
        <v>736</v>
      </c>
      <c r="C168" s="22" t="s">
        <v>10</v>
      </c>
      <c r="D168" s="45">
        <v>94490</v>
      </c>
      <c r="E168" s="12"/>
      <c r="F168" s="316" t="s">
        <v>113</v>
      </c>
      <c r="G168" s="318">
        <v>5</v>
      </c>
      <c r="H168" s="16" t="s">
        <v>1</v>
      </c>
      <c r="I168" s="19">
        <v>32.549999999999997</v>
      </c>
      <c r="J168" s="19">
        <f t="shared" si="26"/>
        <v>39.222749999999998</v>
      </c>
      <c r="K168" s="228">
        <f t="shared" si="27"/>
        <v>196.11374999999998</v>
      </c>
      <c r="L168" s="242">
        <f>K168/K163</f>
        <v>0.11621679520137101</v>
      </c>
      <c r="M168" s="258"/>
      <c r="N168" s="242"/>
      <c r="O168" s="474"/>
      <c r="P168" s="474"/>
      <c r="Q168" s="474"/>
      <c r="R168" s="474"/>
      <c r="S168" s="474"/>
      <c r="T168" s="474"/>
      <c r="U168" s="474"/>
      <c r="V168" s="474"/>
      <c r="W168" s="474"/>
      <c r="X168" s="474"/>
      <c r="Y168" s="474"/>
      <c r="Z168" s="474"/>
      <c r="AA168" s="474"/>
      <c r="AB168" s="474"/>
      <c r="AC168" s="474"/>
      <c r="AD168" s="474"/>
      <c r="AE168" s="474"/>
      <c r="AF168" s="474"/>
      <c r="AG168" s="474"/>
      <c r="AH168" s="474"/>
      <c r="AI168" s="474"/>
      <c r="AJ168" s="474"/>
      <c r="AK168" s="474"/>
      <c r="AL168" s="474"/>
      <c r="AM168" s="474"/>
      <c r="AN168" s="474"/>
      <c r="AO168" s="474"/>
      <c r="AP168" s="474"/>
      <c r="AQ168" s="474"/>
      <c r="AR168" s="474"/>
      <c r="AS168" s="474"/>
      <c r="AT168" s="474"/>
      <c r="AU168" s="474"/>
      <c r="AV168" s="474"/>
      <c r="AW168" s="474"/>
      <c r="AX168" s="474"/>
      <c r="AY168" s="474"/>
      <c r="AZ168" s="474"/>
      <c r="BA168" s="474"/>
      <c r="BB168" s="474"/>
      <c r="BC168" s="474"/>
      <c r="BD168" s="474"/>
      <c r="BE168" s="474"/>
      <c r="BF168" s="474"/>
    </row>
    <row r="169" spans="1:58" s="475" customFormat="1" ht="25.2" customHeight="1">
      <c r="A169" s="473"/>
      <c r="B169" s="16" t="s">
        <v>737</v>
      </c>
      <c r="C169" s="22" t="s">
        <v>10</v>
      </c>
      <c r="D169" s="45">
        <v>94491</v>
      </c>
      <c r="E169" s="12"/>
      <c r="F169" s="316" t="s">
        <v>114</v>
      </c>
      <c r="G169" s="318">
        <v>2</v>
      </c>
      <c r="H169" s="16" t="s">
        <v>1</v>
      </c>
      <c r="I169" s="19">
        <v>44.95</v>
      </c>
      <c r="J169" s="19">
        <f t="shared" si="26"/>
        <v>54.164750000000005</v>
      </c>
      <c r="K169" s="228">
        <f t="shared" si="27"/>
        <v>108.32950000000001</v>
      </c>
      <c r="L169" s="242">
        <f>K169/K163</f>
        <v>6.4195944015995432E-2</v>
      </c>
      <c r="M169" s="258"/>
      <c r="N169" s="242"/>
      <c r="O169" s="474"/>
      <c r="P169" s="474"/>
      <c r="Q169" s="474"/>
      <c r="R169" s="474"/>
      <c r="S169" s="474"/>
      <c r="T169" s="474"/>
      <c r="U169" s="474"/>
      <c r="V169" s="474"/>
      <c r="W169" s="474"/>
      <c r="X169" s="474"/>
      <c r="Y169" s="474"/>
      <c r="Z169" s="474"/>
      <c r="AA169" s="474"/>
      <c r="AB169" s="474"/>
      <c r="AC169" s="474"/>
      <c r="AD169" s="474"/>
      <c r="AE169" s="474"/>
      <c r="AF169" s="474"/>
      <c r="AG169" s="474"/>
      <c r="AH169" s="474"/>
      <c r="AI169" s="474"/>
      <c r="AJ169" s="474"/>
      <c r="AK169" s="474"/>
      <c r="AL169" s="474"/>
      <c r="AM169" s="474"/>
      <c r="AN169" s="474"/>
      <c r="AO169" s="474"/>
      <c r="AP169" s="474"/>
      <c r="AQ169" s="474"/>
      <c r="AR169" s="474"/>
      <c r="AS169" s="474"/>
      <c r="AT169" s="474"/>
      <c r="AU169" s="474"/>
      <c r="AV169" s="474"/>
      <c r="AW169" s="474"/>
      <c r="AX169" s="474"/>
      <c r="AY169" s="474"/>
      <c r="AZ169" s="474"/>
      <c r="BA169" s="474"/>
      <c r="BB169" s="474"/>
      <c r="BC169" s="474"/>
      <c r="BD169" s="474"/>
      <c r="BE169" s="474"/>
      <c r="BF169" s="474"/>
    </row>
    <row r="170" spans="1:58" s="475" customFormat="1" ht="25.2" customHeight="1">
      <c r="A170" s="473"/>
      <c r="B170" s="16" t="s">
        <v>738</v>
      </c>
      <c r="C170" s="16" t="s">
        <v>12</v>
      </c>
      <c r="D170" s="45" t="s">
        <v>488</v>
      </c>
      <c r="E170" s="12"/>
      <c r="F170" s="316" t="s">
        <v>489</v>
      </c>
      <c r="G170" s="318">
        <v>1</v>
      </c>
      <c r="H170" s="16" t="s">
        <v>1</v>
      </c>
      <c r="I170" s="19">
        <v>81.16</v>
      </c>
      <c r="J170" s="19">
        <f t="shared" si="26"/>
        <v>97.797799999999995</v>
      </c>
      <c r="K170" s="228">
        <f t="shared" si="27"/>
        <v>97.797799999999995</v>
      </c>
      <c r="L170" s="242">
        <f>K170/K163</f>
        <v>5.795487003713224E-2</v>
      </c>
      <c r="M170" s="258"/>
      <c r="N170" s="242"/>
      <c r="O170" s="474"/>
      <c r="P170" s="474"/>
      <c r="Q170" s="474"/>
      <c r="R170" s="474"/>
      <c r="S170" s="474"/>
      <c r="T170" s="474"/>
      <c r="U170" s="474"/>
      <c r="V170" s="474"/>
      <c r="W170" s="474"/>
      <c r="X170" s="474"/>
      <c r="Y170" s="474"/>
      <c r="Z170" s="474"/>
      <c r="AA170" s="474"/>
      <c r="AB170" s="474"/>
      <c r="AC170" s="474"/>
      <c r="AD170" s="474"/>
      <c r="AE170" s="474"/>
      <c r="AF170" s="474"/>
      <c r="AG170" s="474"/>
      <c r="AH170" s="474"/>
      <c r="AI170" s="474"/>
      <c r="AJ170" s="474"/>
      <c r="AK170" s="474"/>
      <c r="AL170" s="474"/>
      <c r="AM170" s="474"/>
      <c r="AN170" s="474"/>
      <c r="AO170" s="474"/>
      <c r="AP170" s="474"/>
      <c r="AQ170" s="474"/>
      <c r="AR170" s="474"/>
      <c r="AS170" s="474"/>
      <c r="AT170" s="474"/>
      <c r="AU170" s="474"/>
      <c r="AV170" s="474"/>
      <c r="AW170" s="474"/>
      <c r="AX170" s="474"/>
      <c r="AY170" s="474"/>
      <c r="AZ170" s="474"/>
      <c r="BA170" s="474"/>
      <c r="BB170" s="474"/>
      <c r="BC170" s="474"/>
      <c r="BD170" s="474"/>
      <c r="BE170" s="474"/>
      <c r="BF170" s="474"/>
    </row>
    <row r="171" spans="1:58" s="475" customFormat="1" ht="25.2" customHeight="1">
      <c r="A171" s="473"/>
      <c r="B171" s="16" t="s">
        <v>739</v>
      </c>
      <c r="C171" s="22" t="s">
        <v>10</v>
      </c>
      <c r="D171" s="45">
        <v>99629</v>
      </c>
      <c r="E171" s="12"/>
      <c r="F171" s="316" t="s">
        <v>115</v>
      </c>
      <c r="G171" s="318">
        <v>1</v>
      </c>
      <c r="H171" s="16" t="s">
        <v>1</v>
      </c>
      <c r="I171" s="19">
        <v>68.36</v>
      </c>
      <c r="J171" s="19">
        <f t="shared" si="26"/>
        <v>82.373800000000003</v>
      </c>
      <c r="K171" s="228">
        <f t="shared" si="27"/>
        <v>82.373800000000003</v>
      </c>
      <c r="L171" s="242">
        <f>K171/K163</f>
        <v>4.881462439303056E-2</v>
      </c>
      <c r="M171" s="258"/>
      <c r="N171" s="242"/>
      <c r="O171" s="474"/>
      <c r="P171" s="474"/>
      <c r="Q171" s="474"/>
      <c r="R171" s="474"/>
      <c r="S171" s="474"/>
      <c r="T171" s="474"/>
      <c r="U171" s="474"/>
      <c r="V171" s="474"/>
      <c r="W171" s="474"/>
      <c r="X171" s="474"/>
      <c r="Y171" s="474"/>
      <c r="Z171" s="474"/>
      <c r="AA171" s="474"/>
      <c r="AB171" s="474"/>
      <c r="AC171" s="474"/>
      <c r="AD171" s="474"/>
      <c r="AE171" s="474"/>
      <c r="AF171" s="474"/>
      <c r="AG171" s="474"/>
      <c r="AH171" s="474"/>
      <c r="AI171" s="474"/>
      <c r="AJ171" s="474"/>
      <c r="AK171" s="474"/>
      <c r="AL171" s="474"/>
      <c r="AM171" s="474"/>
      <c r="AN171" s="474"/>
      <c r="AO171" s="474"/>
      <c r="AP171" s="474"/>
      <c r="AQ171" s="474"/>
      <c r="AR171" s="474"/>
      <c r="AS171" s="474"/>
      <c r="AT171" s="474"/>
      <c r="AU171" s="474"/>
      <c r="AV171" s="474"/>
      <c r="AW171" s="474"/>
      <c r="AX171" s="474"/>
      <c r="AY171" s="474"/>
      <c r="AZ171" s="474"/>
      <c r="BA171" s="474"/>
      <c r="BB171" s="474"/>
      <c r="BC171" s="474"/>
      <c r="BD171" s="474"/>
      <c r="BE171" s="474"/>
      <c r="BF171" s="474"/>
    </row>
    <row r="172" spans="1:58" customFormat="1" ht="25.2" customHeight="1">
      <c r="B172" s="494"/>
      <c r="C172" s="495"/>
      <c r="D172" s="496"/>
      <c r="E172" s="495"/>
      <c r="F172" s="497"/>
      <c r="G172" s="498"/>
      <c r="H172" s="495"/>
      <c r="I172" s="495"/>
      <c r="J172" s="495"/>
      <c r="K172" s="495"/>
      <c r="L172" s="499"/>
      <c r="M172" s="496"/>
      <c r="N172" s="501"/>
    </row>
    <row r="173" spans="1:58" ht="25.2" customHeight="1">
      <c r="B173" s="26" t="s">
        <v>155</v>
      </c>
      <c r="C173" s="533" t="s">
        <v>116</v>
      </c>
      <c r="D173" s="533"/>
      <c r="E173" s="533"/>
      <c r="F173" s="533"/>
      <c r="G173" s="533"/>
      <c r="H173" s="533"/>
      <c r="I173" s="533"/>
      <c r="J173" s="533"/>
      <c r="K173" s="234">
        <f>SUM(K174)</f>
        <v>1583.4182000000001</v>
      </c>
      <c r="L173" s="240">
        <f>SUM(L174)</f>
        <v>1</v>
      </c>
      <c r="M173" s="256">
        <f>K173/K206</f>
        <v>5.8597804914599219E-2</v>
      </c>
      <c r="N173" s="240">
        <f>K173/K398</f>
        <v>2.4363262360335559E-3</v>
      </c>
    </row>
    <row r="174" spans="1:58" s="475" customFormat="1" ht="25.2" customHeight="1">
      <c r="A174" s="473"/>
      <c r="B174" s="16" t="s">
        <v>740</v>
      </c>
      <c r="C174" s="22" t="s">
        <v>908</v>
      </c>
      <c r="D174" s="45" t="s">
        <v>907</v>
      </c>
      <c r="E174" s="12"/>
      <c r="F174" s="502" t="s">
        <v>117</v>
      </c>
      <c r="G174" s="173">
        <v>2</v>
      </c>
      <c r="H174" s="16" t="s">
        <v>1</v>
      </c>
      <c r="I174" s="34">
        <v>657.02</v>
      </c>
      <c r="J174" s="19">
        <f>I174*$I$3+I174</f>
        <v>791.70910000000003</v>
      </c>
      <c r="K174" s="228">
        <f>G174*J174</f>
        <v>1583.4182000000001</v>
      </c>
      <c r="L174" s="242">
        <f>K174/K173</f>
        <v>1</v>
      </c>
      <c r="M174" s="258"/>
      <c r="N174" s="242"/>
      <c r="O174" s="474"/>
      <c r="P174" s="474"/>
      <c r="Q174" s="474"/>
      <c r="R174" s="474"/>
      <c r="S174" s="474"/>
      <c r="T174" s="474"/>
      <c r="U174" s="474"/>
      <c r="V174" s="474"/>
      <c r="W174" s="474"/>
      <c r="X174" s="474"/>
      <c r="Y174" s="474"/>
      <c r="Z174" s="474"/>
      <c r="AA174" s="474"/>
      <c r="AB174" s="474"/>
      <c r="AC174" s="474"/>
      <c r="AD174" s="474"/>
      <c r="AE174" s="474"/>
      <c r="AF174" s="474"/>
      <c r="AG174" s="474"/>
      <c r="AH174" s="474"/>
      <c r="AI174" s="474"/>
      <c r="AJ174" s="474"/>
      <c r="AK174" s="474"/>
      <c r="AL174" s="474"/>
      <c r="AM174" s="474"/>
      <c r="AN174" s="474"/>
      <c r="AO174" s="474"/>
      <c r="AP174" s="474"/>
      <c r="AQ174" s="474"/>
      <c r="AR174" s="474"/>
      <c r="AS174" s="474"/>
      <c r="AT174" s="474"/>
      <c r="AU174" s="474"/>
      <c r="AV174" s="474"/>
      <c r="AW174" s="474"/>
      <c r="AX174" s="474"/>
      <c r="AY174" s="474"/>
      <c r="AZ174" s="474"/>
      <c r="BA174" s="474"/>
      <c r="BB174" s="474"/>
      <c r="BC174" s="474"/>
      <c r="BD174" s="474"/>
      <c r="BE174" s="474"/>
      <c r="BF174" s="474"/>
    </row>
    <row r="175" spans="1:58" customFormat="1" ht="25.2" customHeight="1">
      <c r="B175" s="494"/>
      <c r="C175" s="495"/>
      <c r="D175" s="496"/>
      <c r="E175" s="495"/>
      <c r="F175" s="495"/>
      <c r="G175" s="498"/>
      <c r="H175" s="495"/>
      <c r="I175" s="495"/>
      <c r="J175" s="495"/>
      <c r="K175" s="495"/>
      <c r="L175" s="499"/>
      <c r="M175" s="496"/>
      <c r="N175" s="501"/>
    </row>
    <row r="176" spans="1:58" s="32" customFormat="1" ht="25.2" customHeight="1">
      <c r="A176" s="14"/>
      <c r="B176" s="26" t="s">
        <v>467</v>
      </c>
      <c r="C176" s="533" t="s">
        <v>160</v>
      </c>
      <c r="D176" s="533"/>
      <c r="E176" s="533"/>
      <c r="F176" s="533"/>
      <c r="G176" s="533"/>
      <c r="H176" s="533"/>
      <c r="I176" s="533"/>
      <c r="J176" s="533"/>
      <c r="K176" s="234">
        <f>SUM(K177)</f>
        <v>2604.0050000000001</v>
      </c>
      <c r="L176" s="240">
        <f>SUM(L177)</f>
        <v>1</v>
      </c>
      <c r="M176" s="256">
        <f>K176/K206</f>
        <v>9.6366820203683992E-2</v>
      </c>
      <c r="N176" s="240">
        <f>K176/K398</f>
        <v>4.0066520015132829E-3</v>
      </c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  <c r="AR176" s="177"/>
      <c r="AS176" s="177"/>
      <c r="AT176" s="177"/>
      <c r="AU176" s="177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</row>
    <row r="177" spans="1:58" s="475" customFormat="1" ht="25.2" customHeight="1">
      <c r="A177" s="473"/>
      <c r="B177" s="16" t="s">
        <v>741</v>
      </c>
      <c r="C177" s="22" t="s">
        <v>231</v>
      </c>
      <c r="D177" s="45" t="s">
        <v>182</v>
      </c>
      <c r="E177" s="12"/>
      <c r="F177" s="316" t="s">
        <v>331</v>
      </c>
      <c r="G177" s="173">
        <v>1</v>
      </c>
      <c r="H177" s="16" t="s">
        <v>1</v>
      </c>
      <c r="I177" s="19">
        <f>Cotação!E71</f>
        <v>2161</v>
      </c>
      <c r="J177" s="19">
        <f>I177*$I$3+I177</f>
        <v>2604.0050000000001</v>
      </c>
      <c r="K177" s="228">
        <f>G177*J177</f>
        <v>2604.0050000000001</v>
      </c>
      <c r="L177" s="242">
        <f>K177/K176</f>
        <v>1</v>
      </c>
      <c r="M177" s="258"/>
      <c r="N177" s="242"/>
      <c r="O177" s="474"/>
      <c r="P177" s="474"/>
      <c r="Q177" s="474"/>
      <c r="R177" s="474"/>
      <c r="S177" s="474"/>
      <c r="T177" s="474"/>
      <c r="U177" s="474"/>
      <c r="V177" s="474"/>
      <c r="W177" s="474"/>
      <c r="X177" s="474"/>
      <c r="Y177" s="474"/>
      <c r="Z177" s="474"/>
      <c r="AA177" s="474"/>
      <c r="AB177" s="474"/>
      <c r="AC177" s="474"/>
      <c r="AD177" s="474"/>
      <c r="AE177" s="474"/>
      <c r="AF177" s="474"/>
      <c r="AG177" s="474"/>
      <c r="AH177" s="474"/>
      <c r="AI177" s="474"/>
      <c r="AJ177" s="474"/>
      <c r="AK177" s="474"/>
      <c r="AL177" s="474"/>
      <c r="AM177" s="474"/>
      <c r="AN177" s="474"/>
      <c r="AO177" s="474"/>
      <c r="AP177" s="474"/>
      <c r="AQ177" s="474"/>
      <c r="AR177" s="474"/>
      <c r="AS177" s="474"/>
      <c r="AT177" s="474"/>
      <c r="AU177" s="474"/>
      <c r="AV177" s="474"/>
      <c r="AW177" s="474"/>
      <c r="AX177" s="474"/>
      <c r="AY177" s="474"/>
      <c r="AZ177" s="474"/>
      <c r="BA177" s="474"/>
      <c r="BB177" s="474"/>
      <c r="BC177" s="474"/>
      <c r="BD177" s="474"/>
      <c r="BE177" s="474"/>
      <c r="BF177" s="474"/>
    </row>
    <row r="178" spans="1:58" customFormat="1" ht="25.2" customHeight="1">
      <c r="B178" s="494"/>
      <c r="C178" s="495"/>
      <c r="D178" s="496"/>
      <c r="E178" s="495"/>
      <c r="F178" s="495"/>
      <c r="G178" s="498"/>
      <c r="H178" s="495"/>
      <c r="I178" s="495"/>
      <c r="J178" s="495"/>
      <c r="K178" s="495"/>
      <c r="L178" s="499"/>
      <c r="M178" s="496"/>
      <c r="N178" s="501"/>
    </row>
    <row r="179" spans="1:58" ht="25.2" customHeight="1">
      <c r="B179" s="26" t="s">
        <v>468</v>
      </c>
      <c r="C179" s="533" t="s">
        <v>118</v>
      </c>
      <c r="D179" s="533"/>
      <c r="E179" s="533"/>
      <c r="F179" s="533"/>
      <c r="G179" s="533"/>
      <c r="H179" s="533"/>
      <c r="I179" s="533"/>
      <c r="J179" s="533"/>
      <c r="K179" s="234">
        <f>SUM(K180:K183)</f>
        <v>4132.3064999999997</v>
      </c>
      <c r="L179" s="240">
        <f>SUM(L180:L183)</f>
        <v>0.99999999999999989</v>
      </c>
      <c r="M179" s="256">
        <f>K179/K206</f>
        <v>0.1529249127831992</v>
      </c>
      <c r="N179" s="240">
        <f>K179/K398</f>
        <v>6.3581729332667742E-3</v>
      </c>
    </row>
    <row r="180" spans="1:58" s="475" customFormat="1" ht="25.2" customHeight="1">
      <c r="A180" s="473"/>
      <c r="B180" s="16" t="s">
        <v>742</v>
      </c>
      <c r="C180" s="22" t="s">
        <v>10</v>
      </c>
      <c r="D180" s="45" t="s">
        <v>909</v>
      </c>
      <c r="E180" s="12"/>
      <c r="F180" s="515" t="s">
        <v>910</v>
      </c>
      <c r="G180" s="318">
        <v>20</v>
      </c>
      <c r="H180" s="16" t="s">
        <v>13</v>
      </c>
      <c r="I180" s="19">
        <v>10.3</v>
      </c>
      <c r="J180" s="19">
        <f>I180*$I$3+I180</f>
        <v>12.4115</v>
      </c>
      <c r="K180" s="228">
        <f>G180*J180</f>
        <v>248.23000000000002</v>
      </c>
      <c r="L180" s="242">
        <f>K180/K179</f>
        <v>6.0070568337561608E-2</v>
      </c>
      <c r="M180" s="258"/>
      <c r="N180" s="242"/>
      <c r="O180" s="474"/>
      <c r="P180" s="474"/>
      <c r="Q180" s="474"/>
      <c r="R180" s="474"/>
      <c r="S180" s="474"/>
      <c r="T180" s="474"/>
      <c r="U180" s="474"/>
      <c r="V180" s="474"/>
      <c r="W180" s="474"/>
      <c r="X180" s="474"/>
      <c r="Y180" s="474"/>
      <c r="Z180" s="474"/>
      <c r="AA180" s="474"/>
      <c r="AB180" s="474"/>
      <c r="AC180" s="474"/>
      <c r="AD180" s="474"/>
      <c r="AE180" s="474"/>
      <c r="AF180" s="474"/>
      <c r="AG180" s="474"/>
      <c r="AH180" s="474"/>
      <c r="AI180" s="474"/>
      <c r="AJ180" s="474"/>
      <c r="AK180" s="474"/>
      <c r="AL180" s="474"/>
      <c r="AM180" s="474"/>
      <c r="AN180" s="474"/>
      <c r="AO180" s="474"/>
      <c r="AP180" s="474"/>
      <c r="AQ180" s="474"/>
      <c r="AR180" s="474"/>
      <c r="AS180" s="474"/>
      <c r="AT180" s="474"/>
      <c r="AU180" s="474"/>
      <c r="AV180" s="474"/>
      <c r="AW180" s="474"/>
      <c r="AX180" s="474"/>
      <c r="AY180" s="474"/>
      <c r="AZ180" s="474"/>
      <c r="BA180" s="474"/>
      <c r="BB180" s="474"/>
      <c r="BC180" s="474"/>
      <c r="BD180" s="474"/>
      <c r="BE180" s="474"/>
      <c r="BF180" s="474"/>
    </row>
    <row r="181" spans="1:58" s="475" customFormat="1" ht="25.2" customHeight="1">
      <c r="A181" s="473"/>
      <c r="B181" s="16" t="s">
        <v>743</v>
      </c>
      <c r="C181" s="22" t="s">
        <v>10</v>
      </c>
      <c r="D181" s="45" t="s">
        <v>912</v>
      </c>
      <c r="E181" s="12"/>
      <c r="F181" s="515" t="s">
        <v>913</v>
      </c>
      <c r="G181" s="318">
        <v>50</v>
      </c>
      <c r="H181" s="16" t="s">
        <v>13</v>
      </c>
      <c r="I181" s="19">
        <v>34.9</v>
      </c>
      <c r="J181" s="19">
        <f>I181*$I$3+I181</f>
        <v>42.054499999999997</v>
      </c>
      <c r="K181" s="228">
        <f>G181*J181</f>
        <v>2102.7249999999999</v>
      </c>
      <c r="L181" s="242">
        <f>K181/K179</f>
        <v>0.50885020266526693</v>
      </c>
      <c r="M181" s="258"/>
      <c r="N181" s="242"/>
      <c r="O181" s="474"/>
      <c r="P181" s="474"/>
      <c r="Q181" s="474"/>
      <c r="R181" s="474"/>
      <c r="S181" s="474"/>
      <c r="T181" s="474"/>
      <c r="U181" s="474"/>
      <c r="V181" s="474"/>
      <c r="W181" s="474"/>
      <c r="X181" s="474"/>
      <c r="Y181" s="474"/>
      <c r="Z181" s="474"/>
      <c r="AA181" s="474"/>
      <c r="AB181" s="474"/>
      <c r="AC181" s="474"/>
      <c r="AD181" s="474"/>
      <c r="AE181" s="474"/>
      <c r="AF181" s="474"/>
      <c r="AG181" s="474"/>
      <c r="AH181" s="474"/>
      <c r="AI181" s="474"/>
      <c r="AJ181" s="474"/>
      <c r="AK181" s="474"/>
      <c r="AL181" s="474"/>
      <c r="AM181" s="474"/>
      <c r="AN181" s="474"/>
      <c r="AO181" s="474"/>
      <c r="AP181" s="474"/>
      <c r="AQ181" s="474"/>
      <c r="AR181" s="474"/>
      <c r="AS181" s="474"/>
      <c r="AT181" s="474"/>
      <c r="AU181" s="474"/>
      <c r="AV181" s="474"/>
      <c r="AW181" s="474"/>
      <c r="AX181" s="474"/>
      <c r="AY181" s="474"/>
      <c r="AZ181" s="474"/>
      <c r="BA181" s="474"/>
      <c r="BB181" s="474"/>
      <c r="BC181" s="474"/>
      <c r="BD181" s="474"/>
      <c r="BE181" s="474"/>
      <c r="BF181" s="474"/>
    </row>
    <row r="182" spans="1:58" s="475" customFormat="1" ht="25.2" customHeight="1">
      <c r="A182" s="473"/>
      <c r="B182" s="16" t="s">
        <v>744</v>
      </c>
      <c r="C182" s="22" t="s">
        <v>10</v>
      </c>
      <c r="D182" s="45" t="s">
        <v>916</v>
      </c>
      <c r="E182" s="12"/>
      <c r="F182" s="515" t="s">
        <v>914</v>
      </c>
      <c r="G182" s="318">
        <v>50</v>
      </c>
      <c r="H182" s="16" t="s">
        <v>13</v>
      </c>
      <c r="I182" s="19">
        <v>21.07</v>
      </c>
      <c r="J182" s="19">
        <f>I182*$I$3+I182</f>
        <v>25.38935</v>
      </c>
      <c r="K182" s="228">
        <f>G182*J182</f>
        <v>1269.4675</v>
      </c>
      <c r="L182" s="242">
        <f>K182/K179</f>
        <v>0.3072055521535007</v>
      </c>
      <c r="M182" s="258"/>
      <c r="N182" s="242"/>
      <c r="O182" s="474"/>
      <c r="P182" s="474"/>
      <c r="Q182" s="474"/>
      <c r="R182" s="474"/>
      <c r="S182" s="474"/>
      <c r="T182" s="474"/>
      <c r="U182" s="474"/>
      <c r="V182" s="474"/>
      <c r="W182" s="474"/>
      <c r="X182" s="474"/>
      <c r="Y182" s="474"/>
      <c r="Z182" s="474"/>
      <c r="AA182" s="474"/>
      <c r="AB182" s="474"/>
      <c r="AC182" s="474"/>
      <c r="AD182" s="474"/>
      <c r="AE182" s="474"/>
      <c r="AF182" s="474"/>
      <c r="AG182" s="474"/>
      <c r="AH182" s="474"/>
      <c r="AI182" s="474"/>
      <c r="AJ182" s="474"/>
      <c r="AK182" s="474"/>
      <c r="AL182" s="474"/>
      <c r="AM182" s="474"/>
      <c r="AN182" s="474"/>
      <c r="AO182" s="474"/>
      <c r="AP182" s="474"/>
      <c r="AQ182" s="474"/>
      <c r="AR182" s="474"/>
      <c r="AS182" s="474"/>
      <c r="AT182" s="474"/>
      <c r="AU182" s="474"/>
      <c r="AV182" s="474"/>
      <c r="AW182" s="474"/>
      <c r="AX182" s="474"/>
      <c r="AY182" s="474"/>
      <c r="AZ182" s="474"/>
      <c r="BA182" s="474"/>
      <c r="BB182" s="474"/>
      <c r="BC182" s="474"/>
      <c r="BD182" s="474"/>
      <c r="BE182" s="474"/>
      <c r="BF182" s="474"/>
    </row>
    <row r="183" spans="1:58" s="475" customFormat="1" ht="25.2" customHeight="1">
      <c r="A183" s="473"/>
      <c r="B183" s="16" t="s">
        <v>911</v>
      </c>
      <c r="C183" s="22" t="s">
        <v>10</v>
      </c>
      <c r="D183" s="45" t="s">
        <v>917</v>
      </c>
      <c r="E183" s="12"/>
      <c r="F183" s="515" t="s">
        <v>915</v>
      </c>
      <c r="G183" s="318">
        <v>20</v>
      </c>
      <c r="H183" s="16" t="s">
        <v>13</v>
      </c>
      <c r="I183" s="19">
        <v>21.24</v>
      </c>
      <c r="J183" s="19">
        <f>I183*$I$3+I183</f>
        <v>25.594199999999997</v>
      </c>
      <c r="K183" s="228">
        <f>G183*J183</f>
        <v>511.88399999999996</v>
      </c>
      <c r="L183" s="242">
        <f>K183/K179</f>
        <v>0.12387367684367072</v>
      </c>
      <c r="M183" s="258"/>
      <c r="N183" s="242"/>
      <c r="O183" s="474"/>
      <c r="P183" s="474"/>
      <c r="Q183" s="474"/>
      <c r="R183" s="474"/>
      <c r="S183" s="474"/>
      <c r="T183" s="474"/>
      <c r="U183" s="474"/>
      <c r="V183" s="474"/>
      <c r="W183" s="474"/>
      <c r="X183" s="474"/>
      <c r="Y183" s="474"/>
      <c r="Z183" s="474"/>
      <c r="AA183" s="474"/>
      <c r="AB183" s="474"/>
      <c r="AC183" s="474"/>
      <c r="AD183" s="474"/>
      <c r="AE183" s="474"/>
      <c r="AF183" s="474"/>
      <c r="AG183" s="474"/>
      <c r="AH183" s="474"/>
      <c r="AI183" s="474"/>
      <c r="AJ183" s="474"/>
      <c r="AK183" s="474"/>
      <c r="AL183" s="474"/>
      <c r="AM183" s="474"/>
      <c r="AN183" s="474"/>
      <c r="AO183" s="474"/>
      <c r="AP183" s="474"/>
      <c r="AQ183" s="474"/>
      <c r="AR183" s="474"/>
      <c r="AS183" s="474"/>
      <c r="AT183" s="474"/>
      <c r="AU183" s="474"/>
      <c r="AV183" s="474"/>
      <c r="AW183" s="474"/>
      <c r="AX183" s="474"/>
      <c r="AY183" s="474"/>
      <c r="AZ183" s="474"/>
      <c r="BA183" s="474"/>
      <c r="BB183" s="474"/>
      <c r="BC183" s="474"/>
      <c r="BD183" s="474"/>
      <c r="BE183" s="474"/>
      <c r="BF183" s="474"/>
    </row>
    <row r="184" spans="1:58" ht="25.2" customHeight="1">
      <c r="B184" s="278"/>
      <c r="C184" s="265"/>
      <c r="D184" s="280"/>
      <c r="E184" s="281"/>
      <c r="F184" s="516"/>
      <c r="G184" s="517"/>
      <c r="H184" s="194"/>
      <c r="I184" s="197"/>
      <c r="J184" s="197"/>
      <c r="K184" s="227"/>
    </row>
    <row r="185" spans="1:58" ht="25.2" customHeight="1">
      <c r="B185" s="26" t="s">
        <v>156</v>
      </c>
      <c r="C185" s="533" t="s">
        <v>119</v>
      </c>
      <c r="D185" s="533"/>
      <c r="E185" s="533"/>
      <c r="F185" s="533"/>
      <c r="G185" s="533"/>
      <c r="H185" s="533"/>
      <c r="I185" s="533"/>
      <c r="J185" s="533"/>
      <c r="K185" s="234">
        <f>SUM(K186:K190)</f>
        <v>4051.7522500000005</v>
      </c>
      <c r="L185" s="240">
        <f>SUM(L186:L190)</f>
        <v>1</v>
      </c>
      <c r="M185" s="256">
        <f>K185/K206</f>
        <v>0.1499438290577868</v>
      </c>
      <c r="N185" s="240">
        <f>K185/K398</f>
        <v>6.234228145529078E-3</v>
      </c>
    </row>
    <row r="186" spans="1:58" s="475" customFormat="1" ht="25.2" customHeight="1">
      <c r="A186" s="473"/>
      <c r="B186" s="16" t="s">
        <v>745</v>
      </c>
      <c r="C186" s="22" t="s">
        <v>10</v>
      </c>
      <c r="D186" s="40">
        <v>89711</v>
      </c>
      <c r="E186" s="12"/>
      <c r="F186" s="502" t="s">
        <v>120</v>
      </c>
      <c r="G186" s="504">
        <v>15</v>
      </c>
      <c r="H186" s="16" t="s">
        <v>13</v>
      </c>
      <c r="I186" s="19">
        <v>15.4</v>
      </c>
      <c r="J186" s="19">
        <f>I186*$I$3+I186</f>
        <v>18.557000000000002</v>
      </c>
      <c r="K186" s="228">
        <f>G186*J186</f>
        <v>278.35500000000002</v>
      </c>
      <c r="L186" s="242">
        <f>K186/K185</f>
        <v>6.8699906318309564E-2</v>
      </c>
      <c r="M186" s="258"/>
      <c r="N186" s="242"/>
      <c r="O186" s="474"/>
      <c r="P186" s="474"/>
      <c r="Q186" s="474"/>
      <c r="R186" s="474"/>
      <c r="S186" s="474"/>
      <c r="T186" s="474"/>
      <c r="U186" s="474"/>
      <c r="V186" s="474"/>
      <c r="W186" s="474"/>
      <c r="X186" s="474"/>
      <c r="Y186" s="474"/>
      <c r="Z186" s="474"/>
      <c r="AA186" s="474"/>
      <c r="AB186" s="474"/>
      <c r="AC186" s="474"/>
      <c r="AD186" s="474"/>
      <c r="AE186" s="474"/>
      <c r="AF186" s="474"/>
      <c r="AG186" s="474"/>
      <c r="AH186" s="474"/>
      <c r="AI186" s="474"/>
      <c r="AJ186" s="474"/>
      <c r="AK186" s="474"/>
      <c r="AL186" s="474"/>
      <c r="AM186" s="474"/>
      <c r="AN186" s="474"/>
      <c r="AO186" s="474"/>
      <c r="AP186" s="474"/>
      <c r="AQ186" s="474"/>
      <c r="AR186" s="474"/>
      <c r="AS186" s="474"/>
      <c r="AT186" s="474"/>
      <c r="AU186" s="474"/>
      <c r="AV186" s="474"/>
      <c r="AW186" s="474"/>
      <c r="AX186" s="474"/>
      <c r="AY186" s="474"/>
      <c r="AZ186" s="474"/>
      <c r="BA186" s="474"/>
      <c r="BB186" s="474"/>
      <c r="BC186" s="474"/>
      <c r="BD186" s="474"/>
      <c r="BE186" s="474"/>
      <c r="BF186" s="474"/>
    </row>
    <row r="187" spans="1:58" s="475" customFormat="1" ht="25.2" customHeight="1">
      <c r="A187" s="473"/>
      <c r="B187" s="16" t="s">
        <v>746</v>
      </c>
      <c r="C187" s="22" t="s">
        <v>10</v>
      </c>
      <c r="D187" s="40">
        <v>89798</v>
      </c>
      <c r="E187" s="12"/>
      <c r="F187" s="502" t="s">
        <v>121</v>
      </c>
      <c r="G187" s="504">
        <v>35</v>
      </c>
      <c r="H187" s="16" t="s">
        <v>13</v>
      </c>
      <c r="I187" s="19">
        <v>7.77</v>
      </c>
      <c r="J187" s="19">
        <f>I187*$I$3+I187</f>
        <v>9.3628499999999999</v>
      </c>
      <c r="K187" s="228">
        <f>G187*J187</f>
        <v>327.69974999999999</v>
      </c>
      <c r="L187" s="242">
        <f>K187/K185</f>
        <v>8.0878526074737167E-2</v>
      </c>
      <c r="M187" s="258"/>
      <c r="N187" s="242"/>
      <c r="O187" s="474"/>
      <c r="P187" s="474"/>
      <c r="Q187" s="474"/>
      <c r="R187" s="474"/>
      <c r="S187" s="474"/>
      <c r="T187" s="474"/>
      <c r="U187" s="474"/>
      <c r="V187" s="474"/>
      <c r="W187" s="474"/>
      <c r="X187" s="474"/>
      <c r="Y187" s="474"/>
      <c r="Z187" s="474"/>
      <c r="AA187" s="474"/>
      <c r="AB187" s="474"/>
      <c r="AC187" s="474"/>
      <c r="AD187" s="474"/>
      <c r="AE187" s="474"/>
      <c r="AF187" s="474"/>
      <c r="AG187" s="474"/>
      <c r="AH187" s="474"/>
      <c r="AI187" s="474"/>
      <c r="AJ187" s="474"/>
      <c r="AK187" s="474"/>
      <c r="AL187" s="474"/>
      <c r="AM187" s="474"/>
      <c r="AN187" s="474"/>
      <c r="AO187" s="474"/>
      <c r="AP187" s="474"/>
      <c r="AQ187" s="474"/>
      <c r="AR187" s="474"/>
      <c r="AS187" s="474"/>
      <c r="AT187" s="474"/>
      <c r="AU187" s="474"/>
      <c r="AV187" s="474"/>
      <c r="AW187" s="474"/>
      <c r="AX187" s="474"/>
      <c r="AY187" s="474"/>
      <c r="AZ187" s="474"/>
      <c r="BA187" s="474"/>
      <c r="BB187" s="474"/>
      <c r="BC187" s="474"/>
      <c r="BD187" s="474"/>
      <c r="BE187" s="474"/>
      <c r="BF187" s="474"/>
    </row>
    <row r="188" spans="1:58" s="483" customFormat="1" ht="25.2" customHeight="1">
      <c r="A188" s="473"/>
      <c r="B188" s="16" t="s">
        <v>747</v>
      </c>
      <c r="C188" s="35" t="s">
        <v>10</v>
      </c>
      <c r="D188" s="40">
        <v>89799</v>
      </c>
      <c r="E188" s="30"/>
      <c r="F188" s="479" t="s">
        <v>229</v>
      </c>
      <c r="G188" s="480">
        <v>25</v>
      </c>
      <c r="H188" s="31" t="s">
        <v>13</v>
      </c>
      <c r="I188" s="34">
        <v>13.2</v>
      </c>
      <c r="J188" s="34">
        <f>I188*$I$3+I188</f>
        <v>15.905999999999999</v>
      </c>
      <c r="K188" s="233">
        <f>G188*J188</f>
        <v>397.65</v>
      </c>
      <c r="L188" s="242">
        <f>K188/K185</f>
        <v>9.8142723311870794E-2</v>
      </c>
      <c r="M188" s="282"/>
      <c r="N188" s="285"/>
      <c r="O188" s="482"/>
      <c r="P188" s="482"/>
      <c r="Q188" s="482"/>
      <c r="R188" s="482"/>
      <c r="S188" s="482"/>
      <c r="T188" s="482"/>
      <c r="U188" s="482"/>
      <c r="V188" s="482"/>
      <c r="W188" s="482"/>
      <c r="X188" s="482"/>
      <c r="Y188" s="482"/>
      <c r="Z188" s="482"/>
      <c r="AA188" s="482"/>
      <c r="AB188" s="482"/>
      <c r="AC188" s="482"/>
      <c r="AD188" s="482"/>
      <c r="AE188" s="482"/>
      <c r="AF188" s="482"/>
      <c r="AG188" s="482"/>
      <c r="AH188" s="482"/>
      <c r="AI188" s="482"/>
      <c r="AJ188" s="482"/>
      <c r="AK188" s="482"/>
      <c r="AL188" s="482"/>
      <c r="AM188" s="482"/>
      <c r="AN188" s="482"/>
      <c r="AO188" s="482"/>
      <c r="AP188" s="482"/>
      <c r="AQ188" s="482"/>
      <c r="AR188" s="482"/>
      <c r="AS188" s="482"/>
      <c r="AT188" s="482"/>
      <c r="AU188" s="482"/>
      <c r="AV188" s="482"/>
      <c r="AW188" s="482"/>
      <c r="AX188" s="482"/>
      <c r="AY188" s="482"/>
      <c r="AZ188" s="482"/>
      <c r="BA188" s="482"/>
      <c r="BB188" s="482"/>
      <c r="BC188" s="482"/>
      <c r="BD188" s="482"/>
      <c r="BE188" s="482"/>
      <c r="BF188" s="482"/>
    </row>
    <row r="189" spans="1:58" s="475" customFormat="1" ht="25.2" customHeight="1">
      <c r="A189" s="473"/>
      <c r="B189" s="16" t="s">
        <v>748</v>
      </c>
      <c r="C189" s="22" t="s">
        <v>10</v>
      </c>
      <c r="D189" s="40">
        <v>89800</v>
      </c>
      <c r="E189" s="12"/>
      <c r="F189" s="502" t="s">
        <v>122</v>
      </c>
      <c r="G189" s="504">
        <v>80</v>
      </c>
      <c r="H189" s="16" t="s">
        <v>13</v>
      </c>
      <c r="I189" s="19">
        <v>16.75</v>
      </c>
      <c r="J189" s="19">
        <f>I189*$I$3+I189</f>
        <v>20.18375</v>
      </c>
      <c r="K189" s="228">
        <f>G189*J189</f>
        <v>1614.7</v>
      </c>
      <c r="L189" s="242">
        <f>K189/K185</f>
        <v>0.39851893708456626</v>
      </c>
      <c r="M189" s="258"/>
      <c r="N189" s="242"/>
      <c r="O189" s="474"/>
      <c r="P189" s="474"/>
      <c r="Q189" s="474"/>
      <c r="R189" s="474"/>
      <c r="S189" s="474"/>
      <c r="T189" s="474"/>
      <c r="U189" s="474"/>
      <c r="V189" s="474"/>
      <c r="W189" s="474"/>
      <c r="X189" s="474"/>
      <c r="Y189" s="474"/>
      <c r="Z189" s="474"/>
      <c r="AA189" s="474"/>
      <c r="AB189" s="474"/>
      <c r="AC189" s="474"/>
      <c r="AD189" s="474"/>
      <c r="AE189" s="474"/>
      <c r="AF189" s="474"/>
      <c r="AG189" s="474"/>
      <c r="AH189" s="474"/>
      <c r="AI189" s="474"/>
      <c r="AJ189" s="474"/>
      <c r="AK189" s="474"/>
      <c r="AL189" s="474"/>
      <c r="AM189" s="474"/>
      <c r="AN189" s="474"/>
      <c r="AO189" s="474"/>
      <c r="AP189" s="474"/>
      <c r="AQ189" s="474"/>
      <c r="AR189" s="474"/>
      <c r="AS189" s="474"/>
      <c r="AT189" s="474"/>
      <c r="AU189" s="474"/>
      <c r="AV189" s="474"/>
      <c r="AW189" s="474"/>
      <c r="AX189" s="474"/>
      <c r="AY189" s="474"/>
      <c r="AZ189" s="474"/>
      <c r="BA189" s="474"/>
      <c r="BB189" s="474"/>
      <c r="BC189" s="474"/>
      <c r="BD189" s="474"/>
      <c r="BE189" s="474"/>
      <c r="BF189" s="474"/>
    </row>
    <row r="190" spans="1:58" s="475" customFormat="1" ht="25.2" customHeight="1">
      <c r="A190" s="473"/>
      <c r="B190" s="16" t="s">
        <v>749</v>
      </c>
      <c r="C190" s="22" t="s">
        <v>10</v>
      </c>
      <c r="D190" s="40">
        <v>89849</v>
      </c>
      <c r="E190" s="30"/>
      <c r="F190" s="502" t="s">
        <v>123</v>
      </c>
      <c r="G190" s="504">
        <v>30</v>
      </c>
      <c r="H190" s="31" t="s">
        <v>13</v>
      </c>
      <c r="I190" s="34">
        <v>39.65</v>
      </c>
      <c r="J190" s="19">
        <f>I190*$I$3+I190</f>
        <v>47.77825</v>
      </c>
      <c r="K190" s="228">
        <f>G190*J190</f>
        <v>1433.3475000000001</v>
      </c>
      <c r="L190" s="242">
        <f>K190/K185</f>
        <v>0.35375990721051614</v>
      </c>
      <c r="M190" s="258"/>
      <c r="N190" s="242"/>
      <c r="O190" s="474"/>
      <c r="P190" s="474"/>
      <c r="Q190" s="474"/>
      <c r="R190" s="474"/>
      <c r="S190" s="474"/>
      <c r="T190" s="474"/>
      <c r="U190" s="474"/>
      <c r="V190" s="474"/>
      <c r="W190" s="474"/>
      <c r="X190" s="474"/>
      <c r="Y190" s="474"/>
      <c r="Z190" s="474"/>
      <c r="AA190" s="474"/>
      <c r="AB190" s="474"/>
      <c r="AC190" s="474"/>
      <c r="AD190" s="474"/>
      <c r="AE190" s="474"/>
      <c r="AF190" s="474"/>
      <c r="AG190" s="474"/>
      <c r="AH190" s="474"/>
      <c r="AI190" s="474"/>
      <c r="AJ190" s="474"/>
      <c r="AK190" s="474"/>
      <c r="AL190" s="474"/>
      <c r="AM190" s="474"/>
      <c r="AN190" s="474"/>
      <c r="AO190" s="474"/>
      <c r="AP190" s="474"/>
      <c r="AQ190" s="474"/>
      <c r="AR190" s="474"/>
      <c r="AS190" s="474"/>
      <c r="AT190" s="474"/>
      <c r="AU190" s="474"/>
      <c r="AV190" s="474"/>
      <c r="AW190" s="474"/>
      <c r="AX190" s="474"/>
      <c r="AY190" s="474"/>
      <c r="AZ190" s="474"/>
      <c r="BA190" s="474"/>
      <c r="BB190" s="474"/>
      <c r="BC190" s="474"/>
      <c r="BD190" s="474"/>
      <c r="BE190" s="474"/>
      <c r="BF190" s="474"/>
    </row>
    <row r="191" spans="1:58" ht="25.2" customHeight="1">
      <c r="B191" s="2"/>
      <c r="C191" s="28"/>
      <c r="D191" s="168"/>
      <c r="E191" s="28"/>
      <c r="F191" s="190"/>
      <c r="G191" s="209"/>
      <c r="H191" s="2"/>
      <c r="I191" s="29"/>
      <c r="J191" s="212"/>
      <c r="K191" s="231"/>
    </row>
    <row r="192" spans="1:58" ht="25.2" customHeight="1">
      <c r="B192" s="187" t="s">
        <v>157</v>
      </c>
      <c r="C192" s="537" t="s">
        <v>33</v>
      </c>
      <c r="D192" s="538"/>
      <c r="E192" s="538"/>
      <c r="F192" s="538"/>
      <c r="G192" s="538"/>
      <c r="H192" s="538"/>
      <c r="I192" s="538"/>
      <c r="J192" s="539"/>
      <c r="K192" s="234">
        <f>SUM(K193:K204)</f>
        <v>7012.4251999999997</v>
      </c>
      <c r="L192" s="240">
        <f>SUM(L193:L204)</f>
        <v>1</v>
      </c>
      <c r="M192" s="256">
        <f>K192/K206</f>
        <v>0.25950991585660654</v>
      </c>
      <c r="N192" s="240">
        <f>K192/K398</f>
        <v>1.0789667248350975E-2</v>
      </c>
    </row>
    <row r="193" spans="1:58" s="475" customFormat="1" ht="25.2" customHeight="1">
      <c r="A193" s="473"/>
      <c r="B193" s="16" t="s">
        <v>750</v>
      </c>
      <c r="C193" s="16" t="s">
        <v>231</v>
      </c>
      <c r="D193" s="45" t="s">
        <v>183</v>
      </c>
      <c r="E193" s="16"/>
      <c r="F193" s="316" t="s">
        <v>574</v>
      </c>
      <c r="G193" s="173">
        <v>4</v>
      </c>
      <c r="H193" s="16" t="s">
        <v>1</v>
      </c>
      <c r="I193" s="19">
        <f>Cotação!E78</f>
        <v>185.17</v>
      </c>
      <c r="J193" s="290">
        <f t="shared" ref="J193:J204" si="28">I193*$I$3+I193</f>
        <v>223.12984999999998</v>
      </c>
      <c r="K193" s="228">
        <f t="shared" ref="K193:K204" si="29">G193*J193</f>
        <v>892.51939999999991</v>
      </c>
      <c r="L193" s="242">
        <f>K193/K192</f>
        <v>0.12727685138088887</v>
      </c>
      <c r="M193" s="258"/>
      <c r="N193" s="242"/>
      <c r="O193" s="474"/>
      <c r="P193" s="474"/>
      <c r="Q193" s="474"/>
      <c r="R193" s="474"/>
      <c r="S193" s="474"/>
      <c r="T193" s="474"/>
      <c r="U193" s="474"/>
      <c r="V193" s="474"/>
      <c r="W193" s="474"/>
      <c r="X193" s="474"/>
      <c r="Y193" s="474"/>
      <c r="Z193" s="474"/>
      <c r="AA193" s="474"/>
      <c r="AB193" s="474"/>
      <c r="AC193" s="474"/>
      <c r="AD193" s="474"/>
      <c r="AE193" s="474"/>
      <c r="AF193" s="474"/>
      <c r="AG193" s="474"/>
      <c r="AH193" s="474"/>
      <c r="AI193" s="474"/>
      <c r="AJ193" s="474"/>
      <c r="AK193" s="474"/>
      <c r="AL193" s="474"/>
      <c r="AM193" s="474"/>
      <c r="AN193" s="474"/>
      <c r="AO193" s="474"/>
      <c r="AP193" s="474"/>
      <c r="AQ193" s="474"/>
      <c r="AR193" s="474"/>
      <c r="AS193" s="474"/>
      <c r="AT193" s="474"/>
      <c r="AU193" s="474"/>
      <c r="AV193" s="474"/>
      <c r="AW193" s="474"/>
      <c r="AX193" s="474"/>
      <c r="AY193" s="474"/>
      <c r="AZ193" s="474"/>
      <c r="BA193" s="474"/>
      <c r="BB193" s="474"/>
      <c r="BC193" s="474"/>
      <c r="BD193" s="474"/>
      <c r="BE193" s="474"/>
      <c r="BF193" s="474"/>
    </row>
    <row r="194" spans="1:58" s="475" customFormat="1" ht="25.2" customHeight="1">
      <c r="A194" s="473"/>
      <c r="B194" s="16" t="s">
        <v>751</v>
      </c>
      <c r="C194" s="16" t="s">
        <v>231</v>
      </c>
      <c r="D194" s="45" t="s">
        <v>184</v>
      </c>
      <c r="E194" s="16"/>
      <c r="F194" s="316" t="s">
        <v>576</v>
      </c>
      <c r="G194" s="173">
        <v>5</v>
      </c>
      <c r="H194" s="16" t="s">
        <v>1</v>
      </c>
      <c r="I194" s="19">
        <f>Cotação!E86</f>
        <v>10.14</v>
      </c>
      <c r="J194" s="290">
        <f t="shared" si="28"/>
        <v>12.2187</v>
      </c>
      <c r="K194" s="228">
        <f t="shared" si="29"/>
        <v>61.093499999999999</v>
      </c>
      <c r="L194" s="242">
        <f>K194/K192</f>
        <v>8.7121784914012349E-3</v>
      </c>
      <c r="M194" s="258"/>
      <c r="N194" s="242"/>
      <c r="O194" s="474"/>
      <c r="P194" s="474"/>
      <c r="Q194" s="474"/>
      <c r="R194" s="474"/>
      <c r="S194" s="474"/>
      <c r="T194" s="474"/>
      <c r="U194" s="474"/>
      <c r="V194" s="474"/>
      <c r="W194" s="474"/>
      <c r="X194" s="474"/>
      <c r="Y194" s="474"/>
      <c r="Z194" s="474"/>
      <c r="AA194" s="474"/>
      <c r="AB194" s="474"/>
      <c r="AC194" s="474"/>
      <c r="AD194" s="474"/>
      <c r="AE194" s="474"/>
      <c r="AF194" s="474"/>
      <c r="AG194" s="474"/>
      <c r="AH194" s="474"/>
      <c r="AI194" s="474"/>
      <c r="AJ194" s="474"/>
      <c r="AK194" s="474"/>
      <c r="AL194" s="474"/>
      <c r="AM194" s="474"/>
      <c r="AN194" s="474"/>
      <c r="AO194" s="474"/>
      <c r="AP194" s="474"/>
      <c r="AQ194" s="474"/>
      <c r="AR194" s="474"/>
      <c r="AS194" s="474"/>
      <c r="AT194" s="474"/>
      <c r="AU194" s="474"/>
      <c r="AV194" s="474"/>
      <c r="AW194" s="474"/>
      <c r="AX194" s="474"/>
      <c r="AY194" s="474"/>
      <c r="AZ194" s="474"/>
      <c r="BA194" s="474"/>
      <c r="BB194" s="474"/>
      <c r="BC194" s="474"/>
      <c r="BD194" s="474"/>
      <c r="BE194" s="474"/>
      <c r="BF194" s="474"/>
    </row>
    <row r="195" spans="1:58" s="475" customFormat="1" ht="25.2" customHeight="1">
      <c r="A195" s="473"/>
      <c r="B195" s="16" t="s">
        <v>752</v>
      </c>
      <c r="C195" s="16" t="s">
        <v>10</v>
      </c>
      <c r="D195" s="180" t="s">
        <v>991</v>
      </c>
      <c r="E195" s="16"/>
      <c r="F195" s="515" t="s">
        <v>990</v>
      </c>
      <c r="G195" s="173">
        <v>3</v>
      </c>
      <c r="H195" s="16" t="s">
        <v>1</v>
      </c>
      <c r="I195" s="19">
        <v>360.71</v>
      </c>
      <c r="J195" s="290">
        <f t="shared" si="28"/>
        <v>434.65554999999995</v>
      </c>
      <c r="K195" s="228">
        <f t="shared" si="29"/>
        <v>1303.9666499999998</v>
      </c>
      <c r="L195" s="242">
        <f>K195/K192</f>
        <v>0.1859508818717952</v>
      </c>
      <c r="M195" s="258"/>
      <c r="N195" s="242"/>
      <c r="O195" s="474"/>
      <c r="P195" s="474"/>
      <c r="Q195" s="474"/>
      <c r="R195" s="474"/>
      <c r="S195" s="474"/>
      <c r="T195" s="474"/>
      <c r="U195" s="474"/>
      <c r="V195" s="474"/>
      <c r="W195" s="474"/>
      <c r="X195" s="474"/>
      <c r="Y195" s="474"/>
      <c r="Z195" s="474"/>
      <c r="AA195" s="474"/>
      <c r="AB195" s="474"/>
      <c r="AC195" s="474"/>
      <c r="AD195" s="474"/>
      <c r="AE195" s="474"/>
      <c r="AF195" s="474"/>
      <c r="AG195" s="474"/>
      <c r="AH195" s="474"/>
      <c r="AI195" s="474"/>
      <c r="AJ195" s="474"/>
      <c r="AK195" s="474"/>
      <c r="AL195" s="474"/>
      <c r="AM195" s="474"/>
      <c r="AN195" s="474"/>
      <c r="AO195" s="474"/>
      <c r="AP195" s="474"/>
      <c r="AQ195" s="474"/>
      <c r="AR195" s="474"/>
      <c r="AS195" s="474"/>
      <c r="AT195" s="474"/>
      <c r="AU195" s="474"/>
      <c r="AV195" s="474"/>
      <c r="AW195" s="474"/>
      <c r="AX195" s="474"/>
      <c r="AY195" s="474"/>
      <c r="AZ195" s="474"/>
      <c r="BA195" s="474"/>
      <c r="BB195" s="474"/>
      <c r="BC195" s="474"/>
      <c r="BD195" s="474"/>
      <c r="BE195" s="474"/>
      <c r="BF195" s="474"/>
    </row>
    <row r="196" spans="1:58" s="475" customFormat="1" ht="25.2" customHeight="1">
      <c r="A196" s="473"/>
      <c r="B196" s="16" t="s">
        <v>753</v>
      </c>
      <c r="C196" s="16" t="s">
        <v>10</v>
      </c>
      <c r="D196" s="45">
        <v>100868</v>
      </c>
      <c r="E196" s="16"/>
      <c r="F196" s="316" t="s">
        <v>143</v>
      </c>
      <c r="G196" s="173">
        <v>6</v>
      </c>
      <c r="H196" s="16" t="s">
        <v>1</v>
      </c>
      <c r="I196" s="19">
        <v>265.14</v>
      </c>
      <c r="J196" s="290">
        <f t="shared" si="28"/>
        <v>319.49369999999999</v>
      </c>
      <c r="K196" s="228">
        <f t="shared" si="29"/>
        <v>1916.9621999999999</v>
      </c>
      <c r="L196" s="242">
        <f>K196/K192</f>
        <v>0.27336650949232227</v>
      </c>
      <c r="M196" s="258"/>
      <c r="N196" s="242"/>
      <c r="O196" s="474"/>
      <c r="P196" s="474"/>
      <c r="Q196" s="474"/>
      <c r="R196" s="474"/>
      <c r="S196" s="474"/>
      <c r="T196" s="474"/>
      <c r="U196" s="474"/>
      <c r="V196" s="474"/>
      <c r="W196" s="474"/>
      <c r="X196" s="474"/>
      <c r="Y196" s="474"/>
      <c r="Z196" s="474"/>
      <c r="AA196" s="474"/>
      <c r="AB196" s="474"/>
      <c r="AC196" s="474"/>
      <c r="AD196" s="474"/>
      <c r="AE196" s="474"/>
      <c r="AF196" s="474"/>
      <c r="AG196" s="474"/>
      <c r="AH196" s="474"/>
      <c r="AI196" s="474"/>
      <c r="AJ196" s="474"/>
      <c r="AK196" s="474"/>
      <c r="AL196" s="474"/>
      <c r="AM196" s="474"/>
      <c r="AN196" s="474"/>
      <c r="AO196" s="474"/>
      <c r="AP196" s="474"/>
      <c r="AQ196" s="474"/>
      <c r="AR196" s="474"/>
      <c r="AS196" s="474"/>
      <c r="AT196" s="474"/>
      <c r="AU196" s="474"/>
      <c r="AV196" s="474"/>
      <c r="AW196" s="474"/>
      <c r="AX196" s="474"/>
      <c r="AY196" s="474"/>
      <c r="AZ196" s="474"/>
      <c r="BA196" s="474"/>
      <c r="BB196" s="474"/>
      <c r="BC196" s="474"/>
      <c r="BD196" s="474"/>
      <c r="BE196" s="474"/>
      <c r="BF196" s="474"/>
    </row>
    <row r="197" spans="1:58" s="475" customFormat="1" ht="25.2" customHeight="1">
      <c r="A197" s="473"/>
      <c r="B197" s="16" t="s">
        <v>754</v>
      </c>
      <c r="C197" s="16" t="s">
        <v>10</v>
      </c>
      <c r="D197" s="45">
        <v>100867</v>
      </c>
      <c r="E197" s="16"/>
      <c r="F197" s="316" t="s">
        <v>142</v>
      </c>
      <c r="G197" s="173">
        <v>3</v>
      </c>
      <c r="H197" s="16" t="s">
        <v>1</v>
      </c>
      <c r="I197" s="19">
        <v>254.02</v>
      </c>
      <c r="J197" s="290">
        <f t="shared" si="28"/>
        <v>306.09410000000003</v>
      </c>
      <c r="K197" s="228">
        <f t="shared" si="29"/>
        <v>918.28230000000008</v>
      </c>
      <c r="L197" s="242">
        <f>K197/K192</f>
        <v>0.13095074440152318</v>
      </c>
      <c r="M197" s="258"/>
      <c r="N197" s="242"/>
      <c r="O197" s="474"/>
      <c r="P197" s="474"/>
      <c r="Q197" s="474"/>
      <c r="R197" s="474"/>
      <c r="S197" s="474"/>
      <c r="T197" s="474"/>
      <c r="U197" s="474"/>
      <c r="V197" s="474"/>
      <c r="W197" s="474"/>
      <c r="X197" s="474"/>
      <c r="Y197" s="474"/>
      <c r="Z197" s="474"/>
      <c r="AA197" s="474"/>
      <c r="AB197" s="474"/>
      <c r="AC197" s="474"/>
      <c r="AD197" s="474"/>
      <c r="AE197" s="474"/>
      <c r="AF197" s="474"/>
      <c r="AG197" s="474"/>
      <c r="AH197" s="474"/>
      <c r="AI197" s="474"/>
      <c r="AJ197" s="474"/>
      <c r="AK197" s="474"/>
      <c r="AL197" s="474"/>
      <c r="AM197" s="474"/>
      <c r="AN197" s="474"/>
      <c r="AO197" s="474"/>
      <c r="AP197" s="474"/>
      <c r="AQ197" s="474"/>
      <c r="AR197" s="474"/>
      <c r="AS197" s="474"/>
      <c r="AT197" s="474"/>
      <c r="AU197" s="474"/>
      <c r="AV197" s="474"/>
      <c r="AW197" s="474"/>
      <c r="AX197" s="474"/>
      <c r="AY197" s="474"/>
      <c r="AZ197" s="474"/>
      <c r="BA197" s="474"/>
      <c r="BB197" s="474"/>
      <c r="BC197" s="474"/>
      <c r="BD197" s="474"/>
      <c r="BE197" s="474"/>
      <c r="BF197" s="474"/>
    </row>
    <row r="198" spans="1:58" s="475" customFormat="1" ht="25.2" customHeight="1">
      <c r="A198" s="473"/>
      <c r="B198" s="16" t="s">
        <v>755</v>
      </c>
      <c r="C198" s="16" t="s">
        <v>231</v>
      </c>
      <c r="D198" s="45" t="s">
        <v>185</v>
      </c>
      <c r="E198" s="16"/>
      <c r="F198" s="316" t="s">
        <v>272</v>
      </c>
      <c r="G198" s="173">
        <v>3</v>
      </c>
      <c r="H198" s="16" t="s">
        <v>1</v>
      </c>
      <c r="I198" s="19">
        <f>Cotação!E97</f>
        <v>109.96</v>
      </c>
      <c r="J198" s="290">
        <f t="shared" si="28"/>
        <v>132.5018</v>
      </c>
      <c r="K198" s="228">
        <f t="shared" si="29"/>
        <v>397.50540000000001</v>
      </c>
      <c r="L198" s="242">
        <f>K198/K192</f>
        <v>5.6685866681330167E-2</v>
      </c>
      <c r="M198" s="258"/>
      <c r="N198" s="242"/>
      <c r="O198" s="474"/>
      <c r="P198" s="474"/>
      <c r="Q198" s="474"/>
      <c r="R198" s="474"/>
      <c r="S198" s="474"/>
      <c r="T198" s="474"/>
      <c r="U198" s="474"/>
      <c r="V198" s="474"/>
      <c r="W198" s="474"/>
      <c r="X198" s="474"/>
      <c r="Y198" s="474"/>
      <c r="Z198" s="474"/>
      <c r="AA198" s="474"/>
      <c r="AB198" s="474"/>
      <c r="AC198" s="474"/>
      <c r="AD198" s="474"/>
      <c r="AE198" s="474"/>
      <c r="AF198" s="474"/>
      <c r="AG198" s="474"/>
      <c r="AH198" s="474"/>
      <c r="AI198" s="474"/>
      <c r="AJ198" s="474"/>
      <c r="AK198" s="474"/>
      <c r="AL198" s="474"/>
      <c r="AM198" s="474"/>
      <c r="AN198" s="474"/>
      <c r="AO198" s="474"/>
      <c r="AP198" s="474"/>
      <c r="AQ198" s="474"/>
      <c r="AR198" s="474"/>
      <c r="AS198" s="474"/>
      <c r="AT198" s="474"/>
      <c r="AU198" s="474"/>
      <c r="AV198" s="474"/>
      <c r="AW198" s="474"/>
      <c r="AX198" s="474"/>
      <c r="AY198" s="474"/>
      <c r="AZ198" s="474"/>
      <c r="BA198" s="474"/>
      <c r="BB198" s="474"/>
      <c r="BC198" s="474"/>
      <c r="BD198" s="474"/>
      <c r="BE198" s="474"/>
      <c r="BF198" s="474"/>
    </row>
    <row r="199" spans="1:58" s="475" customFormat="1" ht="25.2" customHeight="1">
      <c r="A199" s="473"/>
      <c r="B199" s="16" t="s">
        <v>756</v>
      </c>
      <c r="C199" s="16" t="s">
        <v>231</v>
      </c>
      <c r="D199" s="45" t="s">
        <v>186</v>
      </c>
      <c r="E199" s="16"/>
      <c r="F199" s="316" t="s">
        <v>151</v>
      </c>
      <c r="G199" s="173">
        <v>3</v>
      </c>
      <c r="H199" s="16" t="s">
        <v>1</v>
      </c>
      <c r="I199" s="19">
        <f>Cotação!E103</f>
        <v>26.99</v>
      </c>
      <c r="J199" s="290">
        <f t="shared" si="28"/>
        <v>32.522949999999994</v>
      </c>
      <c r="K199" s="228">
        <f t="shared" si="29"/>
        <v>97.568849999999983</v>
      </c>
      <c r="L199" s="242">
        <f>K199/K192</f>
        <v>1.391370991023191E-2</v>
      </c>
      <c r="M199" s="258"/>
      <c r="N199" s="242"/>
      <c r="O199" s="474"/>
      <c r="P199" s="474"/>
      <c r="Q199" s="474"/>
      <c r="R199" s="474"/>
      <c r="S199" s="474"/>
      <c r="T199" s="474"/>
      <c r="U199" s="474"/>
      <c r="V199" s="474"/>
      <c r="W199" s="474"/>
      <c r="X199" s="474"/>
      <c r="Y199" s="474"/>
      <c r="Z199" s="474"/>
      <c r="AA199" s="474"/>
      <c r="AB199" s="474"/>
      <c r="AC199" s="474"/>
      <c r="AD199" s="474"/>
      <c r="AE199" s="474"/>
      <c r="AF199" s="474"/>
      <c r="AG199" s="474"/>
      <c r="AH199" s="474"/>
      <c r="AI199" s="474"/>
      <c r="AJ199" s="474"/>
      <c r="AK199" s="474"/>
      <c r="AL199" s="474"/>
      <c r="AM199" s="474"/>
      <c r="AN199" s="474"/>
      <c r="AO199" s="474"/>
      <c r="AP199" s="474"/>
      <c r="AQ199" s="474"/>
      <c r="AR199" s="474"/>
      <c r="AS199" s="474"/>
      <c r="AT199" s="474"/>
      <c r="AU199" s="474"/>
      <c r="AV199" s="474"/>
      <c r="AW199" s="474"/>
      <c r="AX199" s="474"/>
      <c r="AY199" s="474"/>
      <c r="AZ199" s="474"/>
      <c r="BA199" s="474"/>
      <c r="BB199" s="474"/>
      <c r="BC199" s="474"/>
      <c r="BD199" s="474"/>
      <c r="BE199" s="474"/>
      <c r="BF199" s="474"/>
    </row>
    <row r="200" spans="1:58" s="475" customFormat="1" ht="38.4" customHeight="1">
      <c r="A200" s="473"/>
      <c r="B200" s="16" t="s">
        <v>757</v>
      </c>
      <c r="C200" s="16" t="s">
        <v>231</v>
      </c>
      <c r="D200" s="45" t="s">
        <v>187</v>
      </c>
      <c r="E200" s="16"/>
      <c r="F200" s="515" t="s">
        <v>580</v>
      </c>
      <c r="G200" s="173">
        <v>4</v>
      </c>
      <c r="H200" s="16" t="s">
        <v>1</v>
      </c>
      <c r="I200" s="19">
        <f>Cotação!E111</f>
        <v>91.18</v>
      </c>
      <c r="J200" s="290">
        <f t="shared" si="28"/>
        <v>109.87190000000001</v>
      </c>
      <c r="K200" s="228">
        <f t="shared" si="29"/>
        <v>439.48760000000004</v>
      </c>
      <c r="L200" s="242">
        <f>K200/K192</f>
        <v>6.2672697029267435E-2</v>
      </c>
      <c r="M200" s="258"/>
      <c r="N200" s="242"/>
      <c r="O200" s="474"/>
      <c r="P200" s="474"/>
      <c r="Q200" s="474"/>
      <c r="R200" s="474"/>
      <c r="S200" s="474"/>
      <c r="T200" s="474"/>
      <c r="U200" s="474"/>
      <c r="V200" s="474"/>
      <c r="W200" s="474"/>
      <c r="X200" s="474"/>
      <c r="Y200" s="474"/>
      <c r="Z200" s="474"/>
      <c r="AA200" s="474"/>
      <c r="AB200" s="474"/>
      <c r="AC200" s="474"/>
      <c r="AD200" s="474"/>
      <c r="AE200" s="474"/>
      <c r="AF200" s="474"/>
      <c r="AG200" s="474"/>
      <c r="AH200" s="474"/>
      <c r="AI200" s="474"/>
      <c r="AJ200" s="474"/>
      <c r="AK200" s="474"/>
      <c r="AL200" s="474"/>
      <c r="AM200" s="474"/>
      <c r="AN200" s="474"/>
      <c r="AO200" s="474"/>
      <c r="AP200" s="474"/>
      <c r="AQ200" s="474"/>
      <c r="AR200" s="474"/>
      <c r="AS200" s="474"/>
      <c r="AT200" s="474"/>
      <c r="AU200" s="474"/>
      <c r="AV200" s="474"/>
      <c r="AW200" s="474"/>
      <c r="AX200" s="474"/>
      <c r="AY200" s="474"/>
      <c r="AZ200" s="474"/>
      <c r="BA200" s="474"/>
      <c r="BB200" s="474"/>
      <c r="BC200" s="474"/>
      <c r="BD200" s="474"/>
      <c r="BE200" s="474"/>
      <c r="BF200" s="474"/>
    </row>
    <row r="201" spans="1:58" s="475" customFormat="1" ht="25.2" customHeight="1">
      <c r="A201" s="473"/>
      <c r="B201" s="16" t="s">
        <v>758</v>
      </c>
      <c r="C201" s="16" t="s">
        <v>10</v>
      </c>
      <c r="D201" s="45" t="s">
        <v>582</v>
      </c>
      <c r="E201" s="16"/>
      <c r="F201" s="316" t="s">
        <v>581</v>
      </c>
      <c r="G201" s="173">
        <v>4</v>
      </c>
      <c r="H201" s="16" t="s">
        <v>1</v>
      </c>
      <c r="I201" s="19">
        <v>62.17</v>
      </c>
      <c r="J201" s="290">
        <f t="shared" si="28"/>
        <v>74.914850000000001</v>
      </c>
      <c r="K201" s="228">
        <f t="shared" si="29"/>
        <v>299.65940000000001</v>
      </c>
      <c r="L201" s="242">
        <f>K201/K192</f>
        <v>4.2732634067882823E-2</v>
      </c>
      <c r="M201" s="258"/>
      <c r="N201" s="242"/>
      <c r="O201" s="474"/>
      <c r="P201" s="474"/>
      <c r="Q201" s="474"/>
      <c r="R201" s="474"/>
      <c r="S201" s="474"/>
      <c r="T201" s="474"/>
      <c r="U201" s="474"/>
      <c r="V201" s="474"/>
      <c r="W201" s="474"/>
      <c r="X201" s="474"/>
      <c r="Y201" s="474"/>
      <c r="Z201" s="474"/>
      <c r="AA201" s="474"/>
      <c r="AB201" s="474"/>
      <c r="AC201" s="474"/>
      <c r="AD201" s="474"/>
      <c r="AE201" s="474"/>
      <c r="AF201" s="474"/>
      <c r="AG201" s="474"/>
      <c r="AH201" s="474"/>
      <c r="AI201" s="474"/>
      <c r="AJ201" s="474"/>
      <c r="AK201" s="474"/>
      <c r="AL201" s="474"/>
      <c r="AM201" s="474"/>
      <c r="AN201" s="474"/>
      <c r="AO201" s="474"/>
      <c r="AP201" s="474"/>
      <c r="AQ201" s="474"/>
      <c r="AR201" s="474"/>
      <c r="AS201" s="474"/>
      <c r="AT201" s="474"/>
      <c r="AU201" s="474"/>
      <c r="AV201" s="474"/>
      <c r="AW201" s="474"/>
      <c r="AX201" s="474"/>
      <c r="AY201" s="474"/>
      <c r="AZ201" s="474"/>
      <c r="BA201" s="474"/>
      <c r="BB201" s="474"/>
      <c r="BC201" s="474"/>
      <c r="BD201" s="474"/>
      <c r="BE201" s="474"/>
      <c r="BF201" s="474"/>
    </row>
    <row r="202" spans="1:58" s="475" customFormat="1" ht="25.2" customHeight="1">
      <c r="A202" s="473"/>
      <c r="B202" s="16" t="s">
        <v>759</v>
      </c>
      <c r="C202" s="16" t="s">
        <v>10</v>
      </c>
      <c r="D202" s="45" t="s">
        <v>579</v>
      </c>
      <c r="E202" s="16"/>
      <c r="F202" s="316" t="s">
        <v>578</v>
      </c>
      <c r="G202" s="173">
        <v>1</v>
      </c>
      <c r="H202" s="16" t="s">
        <v>1</v>
      </c>
      <c r="I202" s="19">
        <v>105.42</v>
      </c>
      <c r="J202" s="290">
        <f t="shared" si="28"/>
        <v>127.03110000000001</v>
      </c>
      <c r="K202" s="228">
        <f t="shared" si="29"/>
        <v>127.03110000000001</v>
      </c>
      <c r="L202" s="242">
        <f>K202/K192</f>
        <v>1.8115145099872155E-2</v>
      </c>
      <c r="M202" s="258"/>
      <c r="N202" s="242"/>
      <c r="O202" s="474"/>
      <c r="P202" s="474"/>
      <c r="Q202" s="474"/>
      <c r="R202" s="474"/>
      <c r="S202" s="474"/>
      <c r="T202" s="474"/>
      <c r="U202" s="474"/>
      <c r="V202" s="474"/>
      <c r="W202" s="474"/>
      <c r="X202" s="474"/>
      <c r="Y202" s="474"/>
      <c r="Z202" s="474"/>
      <c r="AA202" s="474"/>
      <c r="AB202" s="474"/>
      <c r="AC202" s="474"/>
      <c r="AD202" s="474"/>
      <c r="AE202" s="474"/>
      <c r="AF202" s="474"/>
      <c r="AG202" s="474"/>
      <c r="AH202" s="474"/>
      <c r="AI202" s="474"/>
      <c r="AJ202" s="474"/>
      <c r="AK202" s="474"/>
      <c r="AL202" s="474"/>
      <c r="AM202" s="474"/>
      <c r="AN202" s="474"/>
      <c r="AO202" s="474"/>
      <c r="AP202" s="474"/>
      <c r="AQ202" s="474"/>
      <c r="AR202" s="474"/>
      <c r="AS202" s="474"/>
      <c r="AT202" s="474"/>
      <c r="AU202" s="474"/>
      <c r="AV202" s="474"/>
      <c r="AW202" s="474"/>
      <c r="AX202" s="474"/>
      <c r="AY202" s="474"/>
      <c r="AZ202" s="474"/>
      <c r="BA202" s="474"/>
      <c r="BB202" s="474"/>
      <c r="BC202" s="474"/>
      <c r="BD202" s="474"/>
      <c r="BE202" s="474"/>
      <c r="BF202" s="474"/>
    </row>
    <row r="203" spans="1:58" s="475" customFormat="1" ht="25.2" customHeight="1">
      <c r="A203" s="473"/>
      <c r="B203" s="16" t="s">
        <v>760</v>
      </c>
      <c r="C203" s="16" t="s">
        <v>10</v>
      </c>
      <c r="D203" s="45" t="s">
        <v>592</v>
      </c>
      <c r="E203" s="16"/>
      <c r="F203" s="316" t="s">
        <v>591</v>
      </c>
      <c r="G203" s="173">
        <v>2</v>
      </c>
      <c r="H203" s="16" t="s">
        <v>1</v>
      </c>
      <c r="I203" s="19">
        <v>40.86</v>
      </c>
      <c r="J203" s="290">
        <f t="shared" si="28"/>
        <v>49.2363</v>
      </c>
      <c r="K203" s="228">
        <f t="shared" si="29"/>
        <v>98.4726</v>
      </c>
      <c r="L203" s="242">
        <f>K203/K192</f>
        <v>1.4042588290282227E-2</v>
      </c>
      <c r="M203" s="258"/>
      <c r="N203" s="242"/>
      <c r="O203" s="474"/>
      <c r="P203" s="474"/>
      <c r="Q203" s="474"/>
      <c r="R203" s="474"/>
      <c r="S203" s="474"/>
      <c r="T203" s="474"/>
      <c r="U203" s="474"/>
      <c r="V203" s="474"/>
      <c r="W203" s="474"/>
      <c r="X203" s="474"/>
      <c r="Y203" s="474"/>
      <c r="Z203" s="474"/>
      <c r="AA203" s="474"/>
      <c r="AB203" s="474"/>
      <c r="AC203" s="474"/>
      <c r="AD203" s="474"/>
      <c r="AE203" s="474"/>
      <c r="AF203" s="474"/>
      <c r="AG203" s="474"/>
      <c r="AH203" s="474"/>
      <c r="AI203" s="474"/>
      <c r="AJ203" s="474"/>
      <c r="AK203" s="474"/>
      <c r="AL203" s="474"/>
      <c r="AM203" s="474"/>
      <c r="AN203" s="474"/>
      <c r="AO203" s="474"/>
      <c r="AP203" s="474"/>
      <c r="AQ203" s="474"/>
      <c r="AR203" s="474"/>
      <c r="AS203" s="474"/>
      <c r="AT203" s="474"/>
      <c r="AU203" s="474"/>
      <c r="AV203" s="474"/>
      <c r="AW203" s="474"/>
      <c r="AX203" s="474"/>
      <c r="AY203" s="474"/>
      <c r="AZ203" s="474"/>
      <c r="BA203" s="474"/>
      <c r="BB203" s="474"/>
      <c r="BC203" s="474"/>
      <c r="BD203" s="474"/>
      <c r="BE203" s="474"/>
      <c r="BF203" s="474"/>
    </row>
    <row r="204" spans="1:58" s="475" customFormat="1" ht="25.2" customHeight="1">
      <c r="A204" s="473"/>
      <c r="B204" s="16" t="s">
        <v>761</v>
      </c>
      <c r="C204" s="16" t="s">
        <v>10</v>
      </c>
      <c r="D204" s="45" t="s">
        <v>586</v>
      </c>
      <c r="E204" s="16"/>
      <c r="F204" s="316" t="s">
        <v>585</v>
      </c>
      <c r="G204" s="173">
        <v>1</v>
      </c>
      <c r="H204" s="16" t="s">
        <v>34</v>
      </c>
      <c r="I204" s="19">
        <v>381.64</v>
      </c>
      <c r="J204" s="290">
        <f t="shared" si="28"/>
        <v>459.87619999999998</v>
      </c>
      <c r="K204" s="228">
        <f t="shared" si="29"/>
        <v>459.87619999999998</v>
      </c>
      <c r="L204" s="242">
        <f>K204/K192</f>
        <v>6.5580193283202512E-2</v>
      </c>
      <c r="M204" s="258"/>
      <c r="N204" s="242"/>
      <c r="O204" s="474"/>
      <c r="P204" s="474"/>
      <c r="Q204" s="474"/>
      <c r="R204" s="474"/>
      <c r="S204" s="474"/>
      <c r="T204" s="474"/>
      <c r="U204" s="474"/>
      <c r="V204" s="474"/>
      <c r="W204" s="474"/>
      <c r="X204" s="474"/>
      <c r="Y204" s="474"/>
      <c r="Z204" s="474"/>
      <c r="AA204" s="474"/>
      <c r="AB204" s="474"/>
      <c r="AC204" s="474"/>
      <c r="AD204" s="474"/>
      <c r="AE204" s="474"/>
      <c r="AF204" s="474"/>
      <c r="AG204" s="474"/>
      <c r="AH204" s="474"/>
      <c r="AI204" s="474"/>
      <c r="AJ204" s="474"/>
      <c r="AK204" s="474"/>
      <c r="AL204" s="474"/>
      <c r="AM204" s="474"/>
      <c r="AN204" s="474"/>
      <c r="AO204" s="474"/>
      <c r="AP204" s="474"/>
      <c r="AQ204" s="474"/>
      <c r="AR204" s="474"/>
      <c r="AS204" s="474"/>
      <c r="AT204" s="474"/>
      <c r="AU204" s="474"/>
      <c r="AV204" s="474"/>
      <c r="AW204" s="474"/>
      <c r="AX204" s="474"/>
      <c r="AY204" s="474"/>
      <c r="AZ204" s="474"/>
      <c r="BA204" s="474"/>
      <c r="BB204" s="474"/>
      <c r="BC204" s="474"/>
      <c r="BD204" s="474"/>
      <c r="BE204" s="474"/>
      <c r="BF204" s="474"/>
    </row>
    <row r="205" spans="1:58" ht="25.2" customHeight="1" thickBot="1">
      <c r="B205" s="14"/>
      <c r="C205" s="14"/>
      <c r="D205" s="185"/>
      <c r="E205" s="14"/>
      <c r="F205" s="15"/>
      <c r="G205" s="175"/>
      <c r="H205" s="14"/>
      <c r="I205" s="176"/>
      <c r="J205" s="229"/>
      <c r="K205" s="230"/>
    </row>
    <row r="206" spans="1:58" ht="25.2" customHeight="1" thickBot="1">
      <c r="B206" s="535" t="s">
        <v>448</v>
      </c>
      <c r="C206" s="536"/>
      <c r="D206" s="536"/>
      <c r="E206" s="536"/>
      <c r="F206" s="536"/>
      <c r="G206" s="536"/>
      <c r="H206" s="536"/>
      <c r="I206" s="536"/>
      <c r="J206" s="536"/>
      <c r="K206" s="232">
        <f>SUM(K192,K185,K179,K176,K173,K163,K160,K136,K119,K113)</f>
        <v>27021.800599999999</v>
      </c>
      <c r="L206" s="243"/>
      <c r="M206" s="260">
        <f>SUM(M113:M205)</f>
        <v>1</v>
      </c>
      <c r="N206" s="311">
        <f>SUM(N113:N205)</f>
        <v>4.1577090465833522E-2</v>
      </c>
    </row>
    <row r="207" spans="1:58" ht="25.2" customHeight="1" thickBot="1">
      <c r="B207" s="2"/>
      <c r="C207" s="28"/>
      <c r="D207" s="168"/>
      <c r="E207" s="28"/>
      <c r="F207" s="190"/>
      <c r="G207" s="212"/>
      <c r="H207" s="2"/>
      <c r="I207" s="29"/>
      <c r="J207" s="29"/>
      <c r="K207" s="231"/>
      <c r="L207" s="238"/>
      <c r="M207" s="254"/>
      <c r="N207" s="238"/>
    </row>
    <row r="208" spans="1:58" ht="25.2" customHeight="1" thickBot="1">
      <c r="B208" s="262">
        <v>7</v>
      </c>
      <c r="C208" s="540" t="s">
        <v>37</v>
      </c>
      <c r="D208" s="529"/>
      <c r="E208" s="529"/>
      <c r="F208" s="529"/>
      <c r="G208" s="529"/>
      <c r="H208" s="529"/>
      <c r="I208" s="529"/>
      <c r="J208" s="529"/>
      <c r="K208" s="529"/>
      <c r="L208" s="529"/>
      <c r="M208" s="529"/>
      <c r="N208" s="534"/>
    </row>
    <row r="209" spans="1:58">
      <c r="B209" s="249"/>
      <c r="C209" s="167"/>
      <c r="D209" s="199"/>
      <c r="E209" s="167"/>
      <c r="F209" s="205"/>
      <c r="G209" s="211"/>
      <c r="H209" s="217"/>
      <c r="I209" s="211"/>
      <c r="J209" s="211"/>
      <c r="K209" s="211"/>
      <c r="L209" s="238"/>
      <c r="M209" s="254"/>
      <c r="N209" s="238"/>
    </row>
    <row r="210" spans="1:58" ht="25.2" customHeight="1">
      <c r="B210" s="26" t="s">
        <v>26</v>
      </c>
      <c r="C210" s="537" t="s">
        <v>44</v>
      </c>
      <c r="D210" s="538"/>
      <c r="E210" s="538"/>
      <c r="F210" s="538"/>
      <c r="G210" s="538"/>
      <c r="H210" s="538"/>
      <c r="I210" s="538"/>
      <c r="J210" s="539"/>
      <c r="K210" s="234">
        <f>SUM(K211:K214)</f>
        <v>3582.0553</v>
      </c>
      <c r="L210" s="240">
        <f>SUM(L211:L214)</f>
        <v>0.99999999999999989</v>
      </c>
      <c r="M210" s="256">
        <f>K210/K296</f>
        <v>2.7753635670628524E-2</v>
      </c>
      <c r="N210" s="240">
        <f>K210/K398</f>
        <v>5.5115289860335377E-3</v>
      </c>
    </row>
    <row r="211" spans="1:58" s="483" customFormat="1">
      <c r="A211" s="481"/>
      <c r="B211" s="31" t="s">
        <v>762</v>
      </c>
      <c r="C211" s="31" t="s">
        <v>231</v>
      </c>
      <c r="D211" s="40" t="s">
        <v>188</v>
      </c>
      <c r="E211" s="31"/>
      <c r="F211" s="33" t="s">
        <v>989</v>
      </c>
      <c r="G211" s="174">
        <v>1</v>
      </c>
      <c r="H211" s="31" t="s">
        <v>1</v>
      </c>
      <c r="I211" s="34">
        <f>Cotação!E117</f>
        <v>2088.75</v>
      </c>
      <c r="J211" s="34">
        <f>I211*$I$3+I211</f>
        <v>2516.9437499999999</v>
      </c>
      <c r="K211" s="233">
        <f>G211*J211</f>
        <v>2516.9437499999999</v>
      </c>
      <c r="L211" s="285">
        <f>K211/K210</f>
        <v>0.70265351570647161</v>
      </c>
      <c r="M211" s="282"/>
      <c r="N211" s="285"/>
      <c r="O211" s="482"/>
      <c r="P211" s="482"/>
      <c r="Q211" s="482"/>
      <c r="R211" s="482"/>
      <c r="S211" s="482"/>
      <c r="T211" s="482"/>
      <c r="U211" s="482"/>
      <c r="V211" s="482"/>
      <c r="W211" s="482"/>
      <c r="X211" s="482"/>
      <c r="Y211" s="482"/>
      <c r="Z211" s="482"/>
      <c r="AA211" s="482"/>
      <c r="AB211" s="482"/>
      <c r="AC211" s="482"/>
      <c r="AD211" s="482"/>
      <c r="AE211" s="482"/>
      <c r="AF211" s="482"/>
      <c r="AG211" s="482"/>
      <c r="AH211" s="482"/>
      <c r="AI211" s="482"/>
      <c r="AJ211" s="482"/>
      <c r="AK211" s="482"/>
      <c r="AL211" s="482"/>
      <c r="AM211" s="482"/>
      <c r="AN211" s="482"/>
      <c r="AO211" s="482"/>
      <c r="AP211" s="482"/>
      <c r="AQ211" s="482"/>
      <c r="AR211" s="482"/>
      <c r="AS211" s="482"/>
      <c r="AT211" s="482"/>
      <c r="AU211" s="482"/>
      <c r="AV211" s="482"/>
      <c r="AW211" s="482"/>
      <c r="AX211" s="482"/>
      <c r="AY211" s="482"/>
      <c r="AZ211" s="482"/>
      <c r="BA211" s="482"/>
      <c r="BB211" s="482"/>
      <c r="BC211" s="482"/>
      <c r="BD211" s="482"/>
      <c r="BE211" s="482"/>
      <c r="BF211" s="482"/>
    </row>
    <row r="212" spans="1:58" s="483" customFormat="1" ht="26.4">
      <c r="A212" s="481"/>
      <c r="B212" s="31" t="s">
        <v>763</v>
      </c>
      <c r="C212" s="31" t="s">
        <v>10</v>
      </c>
      <c r="D212" s="40" t="s">
        <v>918</v>
      </c>
      <c r="E212" s="31" t="s">
        <v>10</v>
      </c>
      <c r="F212" s="33" t="s">
        <v>919</v>
      </c>
      <c r="G212" s="174">
        <v>2</v>
      </c>
      <c r="H212" s="31" t="s">
        <v>1</v>
      </c>
      <c r="I212" s="34">
        <v>395.13</v>
      </c>
      <c r="J212" s="34">
        <f>I212*$I$3+I212</f>
        <v>476.13164999999998</v>
      </c>
      <c r="K212" s="233">
        <f>G212*J212</f>
        <v>952.26329999999996</v>
      </c>
      <c r="L212" s="285">
        <f>K212/K210</f>
        <v>0.26584271326017772</v>
      </c>
      <c r="M212" s="282"/>
      <c r="N212" s="285"/>
      <c r="O212" s="482"/>
      <c r="P212" s="482"/>
      <c r="Q212" s="482"/>
      <c r="R212" s="482"/>
      <c r="S212" s="482"/>
      <c r="T212" s="482"/>
      <c r="U212" s="482"/>
      <c r="V212" s="482"/>
      <c r="W212" s="482"/>
      <c r="X212" s="482"/>
      <c r="Y212" s="482"/>
      <c r="Z212" s="482"/>
      <c r="AA212" s="482"/>
      <c r="AB212" s="482"/>
      <c r="AC212" s="482"/>
      <c r="AD212" s="482"/>
      <c r="AE212" s="482"/>
      <c r="AF212" s="482"/>
      <c r="AG212" s="482"/>
      <c r="AH212" s="482"/>
      <c r="AI212" s="482"/>
      <c r="AJ212" s="482"/>
      <c r="AK212" s="482"/>
      <c r="AL212" s="482"/>
      <c r="AM212" s="482"/>
      <c r="AN212" s="482"/>
      <c r="AO212" s="482"/>
      <c r="AP212" s="482"/>
      <c r="AQ212" s="482"/>
      <c r="AR212" s="482"/>
      <c r="AS212" s="482"/>
      <c r="AT212" s="482"/>
      <c r="AU212" s="482"/>
      <c r="AV212" s="482"/>
      <c r="AW212" s="482"/>
      <c r="AX212" s="482"/>
      <c r="AY212" s="482"/>
      <c r="AZ212" s="482"/>
      <c r="BA212" s="482"/>
      <c r="BB212" s="482"/>
      <c r="BC212" s="482"/>
      <c r="BD212" s="482"/>
      <c r="BE212" s="482"/>
      <c r="BF212" s="482"/>
    </row>
    <row r="213" spans="1:58" s="483" customFormat="1">
      <c r="A213" s="481"/>
      <c r="B213" s="31" t="s">
        <v>764</v>
      </c>
      <c r="C213" s="31" t="s">
        <v>231</v>
      </c>
      <c r="D213" s="40" t="s">
        <v>189</v>
      </c>
      <c r="E213" s="31" t="s">
        <v>24</v>
      </c>
      <c r="F213" s="33" t="s">
        <v>495</v>
      </c>
      <c r="G213" s="174">
        <v>1</v>
      </c>
      <c r="H213" s="31" t="s">
        <v>1</v>
      </c>
      <c r="I213" s="34">
        <f>Cotação!E125</f>
        <v>73.8</v>
      </c>
      <c r="J213" s="34">
        <f>I213*$I$3+I213</f>
        <v>88.929000000000002</v>
      </c>
      <c r="K213" s="233">
        <f>G213*J213</f>
        <v>88.929000000000002</v>
      </c>
      <c r="L213" s="285">
        <f>K213/K210</f>
        <v>2.482624989067031E-2</v>
      </c>
      <c r="M213" s="282"/>
      <c r="N213" s="285"/>
      <c r="O213" s="482"/>
      <c r="P213" s="482"/>
      <c r="Q213" s="482"/>
      <c r="R213" s="482"/>
      <c r="S213" s="482"/>
      <c r="T213" s="482"/>
      <c r="U213" s="482"/>
      <c r="V213" s="482"/>
      <c r="W213" s="482"/>
      <c r="X213" s="482"/>
      <c r="Y213" s="482"/>
      <c r="Z213" s="482"/>
      <c r="AA213" s="482"/>
      <c r="AB213" s="482"/>
      <c r="AC213" s="482"/>
      <c r="AD213" s="482"/>
      <c r="AE213" s="482"/>
      <c r="AF213" s="482"/>
      <c r="AG213" s="482"/>
      <c r="AH213" s="482"/>
      <c r="AI213" s="482"/>
      <c r="AJ213" s="482"/>
      <c r="AK213" s="482"/>
      <c r="AL213" s="482"/>
      <c r="AM213" s="482"/>
      <c r="AN213" s="482"/>
      <c r="AO213" s="482"/>
      <c r="AP213" s="482"/>
      <c r="AQ213" s="482"/>
      <c r="AR213" s="482"/>
      <c r="AS213" s="482"/>
      <c r="AT213" s="482"/>
      <c r="AU213" s="482"/>
      <c r="AV213" s="482"/>
      <c r="AW213" s="482"/>
      <c r="AX213" s="482"/>
      <c r="AY213" s="482"/>
      <c r="AZ213" s="482"/>
      <c r="BA213" s="482"/>
      <c r="BB213" s="482"/>
      <c r="BC213" s="482"/>
      <c r="BD213" s="482"/>
      <c r="BE213" s="482"/>
      <c r="BF213" s="482"/>
    </row>
    <row r="214" spans="1:58" s="483" customFormat="1">
      <c r="A214" s="481"/>
      <c r="B214" s="31" t="s">
        <v>765</v>
      </c>
      <c r="C214" s="31" t="s">
        <v>10</v>
      </c>
      <c r="D214" s="40" t="s">
        <v>497</v>
      </c>
      <c r="E214" s="31" t="s">
        <v>24</v>
      </c>
      <c r="F214" s="33" t="s">
        <v>496</v>
      </c>
      <c r="G214" s="174">
        <v>1</v>
      </c>
      <c r="H214" s="31" t="s">
        <v>1</v>
      </c>
      <c r="I214" s="34">
        <v>19.850000000000001</v>
      </c>
      <c r="J214" s="34">
        <f>I214*$I$3+I214</f>
        <v>23.919250000000002</v>
      </c>
      <c r="K214" s="233">
        <f>G214*J214</f>
        <v>23.919250000000002</v>
      </c>
      <c r="L214" s="285">
        <f>K214/K210</f>
        <v>6.6775211426802934E-3</v>
      </c>
      <c r="M214" s="282"/>
      <c r="N214" s="285"/>
      <c r="O214" s="482"/>
      <c r="P214" s="482"/>
      <c r="Q214" s="482"/>
      <c r="R214" s="482"/>
      <c r="S214" s="482"/>
      <c r="T214" s="482"/>
      <c r="U214" s="482"/>
      <c r="V214" s="482"/>
      <c r="W214" s="482"/>
      <c r="X214" s="482"/>
      <c r="Y214" s="482"/>
      <c r="Z214" s="482"/>
      <c r="AA214" s="482"/>
      <c r="AB214" s="482"/>
      <c r="AC214" s="482"/>
      <c r="AD214" s="482"/>
      <c r="AE214" s="482"/>
      <c r="AF214" s="482"/>
      <c r="AG214" s="482"/>
      <c r="AH214" s="482"/>
      <c r="AI214" s="482"/>
      <c r="AJ214" s="482"/>
      <c r="AK214" s="482"/>
      <c r="AL214" s="482"/>
      <c r="AM214" s="482"/>
      <c r="AN214" s="482"/>
      <c r="AO214" s="482"/>
      <c r="AP214" s="482"/>
      <c r="AQ214" s="482"/>
      <c r="AR214" s="482"/>
      <c r="AS214" s="482"/>
      <c r="AT214" s="482"/>
      <c r="AU214" s="482"/>
      <c r="AV214" s="482"/>
      <c r="AW214" s="482"/>
      <c r="AX214" s="482"/>
      <c r="AY214" s="482"/>
      <c r="AZ214" s="482"/>
      <c r="BA214" s="482"/>
      <c r="BB214" s="482"/>
      <c r="BC214" s="482"/>
      <c r="BD214" s="482"/>
      <c r="BE214" s="482"/>
      <c r="BF214" s="482"/>
    </row>
    <row r="215" spans="1:58" customFormat="1" ht="14.4">
      <c r="B215" s="494"/>
      <c r="C215" s="495"/>
      <c r="D215" s="496"/>
      <c r="E215" s="495"/>
      <c r="F215" s="495"/>
      <c r="G215" s="498"/>
      <c r="H215" s="495"/>
      <c r="I215" s="495"/>
      <c r="J215" s="495"/>
      <c r="K215" s="495"/>
      <c r="L215" s="496"/>
      <c r="M215" s="496"/>
      <c r="N215" s="501"/>
    </row>
    <row r="216" spans="1:58" ht="25.05" customHeight="1">
      <c r="B216" s="26" t="s">
        <v>27</v>
      </c>
      <c r="C216" s="533" t="s">
        <v>38</v>
      </c>
      <c r="D216" s="533"/>
      <c r="E216" s="533"/>
      <c r="F216" s="533"/>
      <c r="G216" s="533"/>
      <c r="H216" s="533"/>
      <c r="I216" s="533"/>
      <c r="J216" s="533"/>
      <c r="K216" s="234">
        <f>SUM(K217:K227)</f>
        <v>2901.2664500000001</v>
      </c>
      <c r="L216" s="240">
        <f>SUM(L217:L227)</f>
        <v>0.99999999999999978</v>
      </c>
      <c r="M216" s="256">
        <f>K216/K296</f>
        <v>2.2478908138776583E-2</v>
      </c>
      <c r="N216" s="240">
        <f>K216/K398</f>
        <v>4.4640332982524367E-3</v>
      </c>
    </row>
    <row r="217" spans="1:58" s="483" customFormat="1" ht="25.05" customHeight="1">
      <c r="A217" s="473"/>
      <c r="B217" s="16" t="s">
        <v>766</v>
      </c>
      <c r="C217" s="31" t="s">
        <v>10</v>
      </c>
      <c r="D217" s="40" t="s">
        <v>920</v>
      </c>
      <c r="E217" s="31"/>
      <c r="F217" s="33" t="s">
        <v>921</v>
      </c>
      <c r="G217" s="174">
        <v>1</v>
      </c>
      <c r="H217" s="31" t="s">
        <v>1</v>
      </c>
      <c r="I217" s="34">
        <v>98.23</v>
      </c>
      <c r="J217" s="34">
        <f t="shared" ref="J217:J227" si="30">I217*$I$3+I217</f>
        <v>118.36715000000001</v>
      </c>
      <c r="K217" s="233">
        <f t="shared" ref="K217:K227" si="31">G217*J217</f>
        <v>118.36715000000001</v>
      </c>
      <c r="L217" s="285">
        <f>K217/K216</f>
        <v>4.0798441659848236E-2</v>
      </c>
      <c r="M217" s="282"/>
      <c r="N217" s="285"/>
      <c r="O217" s="482"/>
      <c r="P217" s="482"/>
      <c r="Q217" s="482"/>
      <c r="R217" s="482"/>
      <c r="S217" s="482"/>
      <c r="T217" s="482"/>
      <c r="U217" s="482"/>
      <c r="V217" s="482"/>
      <c r="W217" s="482"/>
      <c r="X217" s="482"/>
      <c r="Y217" s="482"/>
      <c r="Z217" s="482"/>
      <c r="AA217" s="482"/>
      <c r="AB217" s="482"/>
      <c r="AC217" s="482"/>
      <c r="AD217" s="482"/>
      <c r="AE217" s="482"/>
      <c r="AF217" s="482"/>
      <c r="AG217" s="482"/>
      <c r="AH217" s="482"/>
      <c r="AI217" s="482"/>
      <c r="AJ217" s="482"/>
      <c r="AK217" s="482"/>
      <c r="AL217" s="482"/>
      <c r="AM217" s="482"/>
      <c r="AN217" s="482"/>
      <c r="AO217" s="482"/>
      <c r="AP217" s="482"/>
      <c r="AQ217" s="482"/>
      <c r="AR217" s="482"/>
      <c r="AS217" s="482"/>
      <c r="AT217" s="482"/>
      <c r="AU217" s="482"/>
      <c r="AV217" s="482"/>
      <c r="AW217" s="482"/>
      <c r="AX217" s="482"/>
      <c r="AY217" s="482"/>
      <c r="AZ217" s="482"/>
      <c r="BA217" s="482"/>
      <c r="BB217" s="482"/>
      <c r="BC217" s="482"/>
      <c r="BD217" s="482"/>
      <c r="BE217" s="482"/>
      <c r="BF217" s="482"/>
    </row>
    <row r="218" spans="1:58" s="483" customFormat="1" ht="25.05" customHeight="1">
      <c r="A218" s="473"/>
      <c r="B218" s="16" t="s">
        <v>767</v>
      </c>
      <c r="C218" s="31" t="s">
        <v>10</v>
      </c>
      <c r="D218" s="40" t="s">
        <v>925</v>
      </c>
      <c r="E218" s="31"/>
      <c r="F218" s="33" t="s">
        <v>922</v>
      </c>
      <c r="G218" s="174">
        <v>1</v>
      </c>
      <c r="H218" s="31" t="s">
        <v>1</v>
      </c>
      <c r="I218" s="34">
        <v>130.62</v>
      </c>
      <c r="J218" s="34">
        <f t="shared" ref="J218:J219" si="32">I218*$I$3+I218</f>
        <v>157.39709999999999</v>
      </c>
      <c r="K218" s="233">
        <f t="shared" ref="K218:K219" si="33">G218*J218</f>
        <v>157.39709999999999</v>
      </c>
      <c r="L218" s="285">
        <f>K218/K216</f>
        <v>5.4251170208789334E-2</v>
      </c>
      <c r="M218" s="282"/>
      <c r="N218" s="285"/>
      <c r="O218" s="482"/>
      <c r="P218" s="482"/>
      <c r="Q218" s="482"/>
      <c r="R218" s="482"/>
      <c r="S218" s="482"/>
      <c r="T218" s="482"/>
      <c r="U218" s="482"/>
      <c r="V218" s="482"/>
      <c r="W218" s="482"/>
      <c r="X218" s="482"/>
      <c r="Y218" s="482"/>
      <c r="Z218" s="482"/>
      <c r="AA218" s="482"/>
      <c r="AB218" s="482"/>
      <c r="AC218" s="482"/>
      <c r="AD218" s="482"/>
      <c r="AE218" s="482"/>
      <c r="AF218" s="482"/>
      <c r="AG218" s="482"/>
      <c r="AH218" s="482"/>
      <c r="AI218" s="482"/>
      <c r="AJ218" s="482"/>
      <c r="AK218" s="482"/>
      <c r="AL218" s="482"/>
      <c r="AM218" s="482"/>
      <c r="AN218" s="482"/>
      <c r="AO218" s="482"/>
      <c r="AP218" s="482"/>
      <c r="AQ218" s="482"/>
      <c r="AR218" s="482"/>
      <c r="AS218" s="482"/>
      <c r="AT218" s="482"/>
      <c r="AU218" s="482"/>
      <c r="AV218" s="482"/>
      <c r="AW218" s="482"/>
      <c r="AX218" s="482"/>
      <c r="AY218" s="482"/>
      <c r="AZ218" s="482"/>
      <c r="BA218" s="482"/>
      <c r="BB218" s="482"/>
      <c r="BC218" s="482"/>
      <c r="BD218" s="482"/>
      <c r="BE218" s="482"/>
      <c r="BF218" s="482"/>
    </row>
    <row r="219" spans="1:58" s="483" customFormat="1" ht="25.05" customHeight="1">
      <c r="A219" s="473"/>
      <c r="B219" s="16" t="s">
        <v>768</v>
      </c>
      <c r="C219" s="31" t="s">
        <v>10</v>
      </c>
      <c r="D219" s="40" t="s">
        <v>924</v>
      </c>
      <c r="E219" s="31"/>
      <c r="F219" s="33" t="s">
        <v>923</v>
      </c>
      <c r="G219" s="174">
        <v>1</v>
      </c>
      <c r="H219" s="31" t="s">
        <v>1</v>
      </c>
      <c r="I219" s="34">
        <v>574.79</v>
      </c>
      <c r="J219" s="34">
        <f t="shared" si="32"/>
        <v>692.62194999999997</v>
      </c>
      <c r="K219" s="233">
        <f t="shared" si="33"/>
        <v>692.62194999999997</v>
      </c>
      <c r="L219" s="285">
        <f>K219/K216</f>
        <v>0.23873089974207642</v>
      </c>
      <c r="M219" s="282"/>
      <c r="N219" s="285"/>
      <c r="O219" s="482"/>
      <c r="P219" s="482"/>
      <c r="Q219" s="482"/>
      <c r="R219" s="482"/>
      <c r="S219" s="482"/>
      <c r="T219" s="482"/>
      <c r="U219" s="482"/>
      <c r="V219" s="482"/>
      <c r="W219" s="482"/>
      <c r="X219" s="482"/>
      <c r="Y219" s="482"/>
      <c r="Z219" s="482"/>
      <c r="AA219" s="482"/>
      <c r="AB219" s="482"/>
      <c r="AC219" s="482"/>
      <c r="AD219" s="482"/>
      <c r="AE219" s="482"/>
      <c r="AF219" s="482"/>
      <c r="AG219" s="482"/>
      <c r="AH219" s="482"/>
      <c r="AI219" s="482"/>
      <c r="AJ219" s="482"/>
      <c r="AK219" s="482"/>
      <c r="AL219" s="482"/>
      <c r="AM219" s="482"/>
      <c r="AN219" s="482"/>
      <c r="AO219" s="482"/>
      <c r="AP219" s="482"/>
      <c r="AQ219" s="482"/>
      <c r="AR219" s="482"/>
      <c r="AS219" s="482"/>
      <c r="AT219" s="482"/>
      <c r="AU219" s="482"/>
      <c r="AV219" s="482"/>
      <c r="AW219" s="482"/>
      <c r="AX219" s="482"/>
      <c r="AY219" s="482"/>
      <c r="AZ219" s="482"/>
      <c r="BA219" s="482"/>
      <c r="BB219" s="482"/>
      <c r="BC219" s="482"/>
      <c r="BD219" s="482"/>
      <c r="BE219" s="482"/>
      <c r="BF219" s="482"/>
    </row>
    <row r="220" spans="1:58" s="475" customFormat="1" ht="25.2" customHeight="1">
      <c r="A220" s="473"/>
      <c r="B220" s="16" t="s">
        <v>769</v>
      </c>
      <c r="C220" s="16" t="s">
        <v>10</v>
      </c>
      <c r="D220" s="45" t="s">
        <v>499</v>
      </c>
      <c r="E220" s="16"/>
      <c r="F220" s="21" t="s">
        <v>500</v>
      </c>
      <c r="G220" s="173">
        <v>8</v>
      </c>
      <c r="H220" s="16" t="s">
        <v>1</v>
      </c>
      <c r="I220" s="19">
        <v>11.34</v>
      </c>
      <c r="J220" s="19">
        <f t="shared" si="30"/>
        <v>13.6647</v>
      </c>
      <c r="K220" s="228">
        <f t="shared" si="31"/>
        <v>109.3176</v>
      </c>
      <c r="L220" s="242">
        <f>K220/K216</f>
        <v>3.7679269341152719E-2</v>
      </c>
      <c r="M220" s="258"/>
      <c r="N220" s="242"/>
      <c r="O220" s="474"/>
      <c r="P220" s="474"/>
      <c r="Q220" s="474"/>
      <c r="R220" s="474"/>
      <c r="S220" s="474"/>
      <c r="T220" s="474"/>
      <c r="U220" s="474"/>
      <c r="V220" s="474"/>
      <c r="W220" s="474"/>
      <c r="X220" s="474"/>
      <c r="Y220" s="474"/>
      <c r="Z220" s="474"/>
      <c r="AA220" s="474"/>
      <c r="AB220" s="474"/>
      <c r="AC220" s="474"/>
      <c r="AD220" s="474"/>
      <c r="AE220" s="474"/>
      <c r="AF220" s="474"/>
      <c r="AG220" s="474"/>
      <c r="AH220" s="474"/>
      <c r="AI220" s="474"/>
      <c r="AJ220" s="474"/>
      <c r="AK220" s="474"/>
      <c r="AL220" s="474"/>
      <c r="AM220" s="474"/>
      <c r="AN220" s="474"/>
      <c r="AO220" s="474"/>
      <c r="AP220" s="474"/>
      <c r="AQ220" s="474"/>
      <c r="AR220" s="474"/>
      <c r="AS220" s="474"/>
      <c r="AT220" s="474"/>
      <c r="AU220" s="474"/>
      <c r="AV220" s="474"/>
      <c r="AW220" s="474"/>
      <c r="AX220" s="474"/>
      <c r="AY220" s="474"/>
      <c r="AZ220" s="474"/>
      <c r="BA220" s="474"/>
      <c r="BB220" s="474"/>
      <c r="BC220" s="474"/>
      <c r="BD220" s="474"/>
      <c r="BE220" s="474"/>
      <c r="BF220" s="474"/>
    </row>
    <row r="221" spans="1:58" s="475" customFormat="1" ht="25.2" customHeight="1">
      <c r="A221" s="473"/>
      <c r="B221" s="16" t="s">
        <v>770</v>
      </c>
      <c r="C221" s="16" t="s">
        <v>10</v>
      </c>
      <c r="D221" s="45" t="s">
        <v>498</v>
      </c>
      <c r="E221" s="16"/>
      <c r="F221" s="21" t="s">
        <v>501</v>
      </c>
      <c r="G221" s="173">
        <v>2</v>
      </c>
      <c r="H221" s="16" t="s">
        <v>1</v>
      </c>
      <c r="I221" s="19">
        <v>56.68</v>
      </c>
      <c r="J221" s="19">
        <f t="shared" si="30"/>
        <v>68.299399999999991</v>
      </c>
      <c r="K221" s="228">
        <f t="shared" si="31"/>
        <v>136.59879999999998</v>
      </c>
      <c r="L221" s="242">
        <f>K221/K216</f>
        <v>4.7082473241987124E-2</v>
      </c>
      <c r="M221" s="258"/>
      <c r="N221" s="242"/>
      <c r="O221" s="474"/>
      <c r="P221" s="474"/>
      <c r="Q221" s="474"/>
      <c r="R221" s="474"/>
      <c r="S221" s="474"/>
      <c r="T221" s="474"/>
      <c r="U221" s="474"/>
      <c r="V221" s="474"/>
      <c r="W221" s="474"/>
      <c r="X221" s="474"/>
      <c r="Y221" s="474"/>
      <c r="Z221" s="474"/>
      <c r="AA221" s="474"/>
      <c r="AB221" s="474"/>
      <c r="AC221" s="474"/>
      <c r="AD221" s="474"/>
      <c r="AE221" s="474"/>
      <c r="AF221" s="474"/>
      <c r="AG221" s="474"/>
      <c r="AH221" s="474"/>
      <c r="AI221" s="474"/>
      <c r="AJ221" s="474"/>
      <c r="AK221" s="474"/>
      <c r="AL221" s="474"/>
      <c r="AM221" s="474"/>
      <c r="AN221" s="474"/>
      <c r="AO221" s="474"/>
      <c r="AP221" s="474"/>
      <c r="AQ221" s="474"/>
      <c r="AR221" s="474"/>
      <c r="AS221" s="474"/>
      <c r="AT221" s="474"/>
      <c r="AU221" s="474"/>
      <c r="AV221" s="474"/>
      <c r="AW221" s="474"/>
      <c r="AX221" s="474"/>
      <c r="AY221" s="474"/>
      <c r="AZ221" s="474"/>
      <c r="BA221" s="474"/>
      <c r="BB221" s="474"/>
      <c r="BC221" s="474"/>
      <c r="BD221" s="474"/>
      <c r="BE221" s="474"/>
      <c r="BF221" s="474"/>
    </row>
    <row r="222" spans="1:58" s="475" customFormat="1" ht="25.2" customHeight="1">
      <c r="A222" s="473"/>
      <c r="B222" s="16" t="s">
        <v>771</v>
      </c>
      <c r="C222" s="16" t="s">
        <v>10</v>
      </c>
      <c r="D222" s="45" t="s">
        <v>502</v>
      </c>
      <c r="E222" s="16"/>
      <c r="F222" s="21" t="s">
        <v>503</v>
      </c>
      <c r="G222" s="173">
        <v>9</v>
      </c>
      <c r="H222" s="16" t="s">
        <v>1</v>
      </c>
      <c r="I222" s="19">
        <v>57.86</v>
      </c>
      <c r="J222" s="19">
        <f t="shared" si="30"/>
        <v>69.721299999999999</v>
      </c>
      <c r="K222" s="228">
        <f t="shared" si="31"/>
        <v>627.49170000000004</v>
      </c>
      <c r="L222" s="242">
        <f>K222/K216</f>
        <v>0.21628199643641832</v>
      </c>
      <c r="M222" s="258"/>
      <c r="N222" s="242"/>
      <c r="O222" s="474"/>
      <c r="P222" s="474"/>
      <c r="Q222" s="474"/>
      <c r="R222" s="474"/>
      <c r="S222" s="474"/>
      <c r="T222" s="474"/>
      <c r="U222" s="474"/>
      <c r="V222" s="474"/>
      <c r="W222" s="474"/>
      <c r="X222" s="474"/>
      <c r="Y222" s="474"/>
      <c r="Z222" s="474"/>
      <c r="AA222" s="474"/>
      <c r="AB222" s="474"/>
      <c r="AC222" s="474"/>
      <c r="AD222" s="474"/>
      <c r="AE222" s="474"/>
      <c r="AF222" s="474"/>
      <c r="AG222" s="474"/>
      <c r="AH222" s="474"/>
      <c r="AI222" s="474"/>
      <c r="AJ222" s="474"/>
      <c r="AK222" s="474"/>
      <c r="AL222" s="474"/>
      <c r="AM222" s="474"/>
      <c r="AN222" s="474"/>
      <c r="AO222" s="474"/>
      <c r="AP222" s="474"/>
      <c r="AQ222" s="474"/>
      <c r="AR222" s="474"/>
      <c r="AS222" s="474"/>
      <c r="AT222" s="474"/>
      <c r="AU222" s="474"/>
      <c r="AV222" s="474"/>
      <c r="AW222" s="474"/>
      <c r="AX222" s="474"/>
      <c r="AY222" s="474"/>
      <c r="AZ222" s="474"/>
      <c r="BA222" s="474"/>
      <c r="BB222" s="474"/>
      <c r="BC222" s="474"/>
      <c r="BD222" s="474"/>
      <c r="BE222" s="474"/>
      <c r="BF222" s="474"/>
    </row>
    <row r="223" spans="1:58" s="475" customFormat="1" ht="25.2" customHeight="1">
      <c r="A223" s="473"/>
      <c r="B223" s="16" t="s">
        <v>772</v>
      </c>
      <c r="C223" s="16" t="s">
        <v>10</v>
      </c>
      <c r="D223" s="45" t="s">
        <v>927</v>
      </c>
      <c r="E223" s="16"/>
      <c r="F223" s="21" t="s">
        <v>926</v>
      </c>
      <c r="G223" s="173">
        <v>2</v>
      </c>
      <c r="H223" s="16" t="s">
        <v>1</v>
      </c>
      <c r="I223" s="19">
        <v>60.02</v>
      </c>
      <c r="J223" s="19">
        <f t="shared" ref="J223" si="34">I223*$I$3+I223</f>
        <v>72.324100000000001</v>
      </c>
      <c r="K223" s="228">
        <f t="shared" ref="K223" si="35">G223*J223</f>
        <v>144.6482</v>
      </c>
      <c r="L223" s="242">
        <f>K223/K216</f>
        <v>4.9856916795766898E-2</v>
      </c>
      <c r="M223" s="258"/>
      <c r="N223" s="242"/>
      <c r="O223" s="474"/>
      <c r="P223" s="474"/>
      <c r="Q223" s="474"/>
      <c r="R223" s="474"/>
      <c r="S223" s="474"/>
      <c r="T223" s="474"/>
      <c r="U223" s="474"/>
      <c r="V223" s="474"/>
      <c r="W223" s="474"/>
      <c r="X223" s="474"/>
      <c r="Y223" s="474"/>
      <c r="Z223" s="474"/>
      <c r="AA223" s="474"/>
      <c r="AB223" s="474"/>
      <c r="AC223" s="474"/>
      <c r="AD223" s="474"/>
      <c r="AE223" s="474"/>
      <c r="AF223" s="474"/>
      <c r="AG223" s="474"/>
      <c r="AH223" s="474"/>
      <c r="AI223" s="474"/>
      <c r="AJ223" s="474"/>
      <c r="AK223" s="474"/>
      <c r="AL223" s="474"/>
      <c r="AM223" s="474"/>
      <c r="AN223" s="474"/>
      <c r="AO223" s="474"/>
      <c r="AP223" s="474"/>
      <c r="AQ223" s="474"/>
      <c r="AR223" s="474"/>
      <c r="AS223" s="474"/>
      <c r="AT223" s="474"/>
      <c r="AU223" s="474"/>
      <c r="AV223" s="474"/>
      <c r="AW223" s="474"/>
      <c r="AX223" s="474"/>
      <c r="AY223" s="474"/>
      <c r="AZ223" s="474"/>
      <c r="BA223" s="474"/>
      <c r="BB223" s="474"/>
      <c r="BC223" s="474"/>
      <c r="BD223" s="474"/>
      <c r="BE223" s="474"/>
      <c r="BF223" s="474"/>
    </row>
    <row r="224" spans="1:58" s="475" customFormat="1" ht="25.2" customHeight="1">
      <c r="A224" s="473"/>
      <c r="B224" s="16" t="s">
        <v>773</v>
      </c>
      <c r="C224" s="16" t="s">
        <v>10</v>
      </c>
      <c r="D224" s="45" t="s">
        <v>929</v>
      </c>
      <c r="E224" s="16"/>
      <c r="F224" s="21" t="s">
        <v>928</v>
      </c>
      <c r="G224" s="173">
        <v>2</v>
      </c>
      <c r="H224" s="16" t="s">
        <v>1</v>
      </c>
      <c r="I224" s="19">
        <v>60.02</v>
      </c>
      <c r="J224" s="19">
        <f t="shared" ref="J224" si="36">I224*$I$3+I224</f>
        <v>72.324100000000001</v>
      </c>
      <c r="K224" s="228">
        <f t="shared" ref="K224" si="37">G224*J224</f>
        <v>144.6482</v>
      </c>
      <c r="L224" s="242">
        <f>K224/K216</f>
        <v>4.9856916795766898E-2</v>
      </c>
      <c r="M224" s="258"/>
      <c r="N224" s="242"/>
      <c r="O224" s="474"/>
      <c r="P224" s="474"/>
      <c r="Q224" s="474"/>
      <c r="R224" s="474"/>
      <c r="S224" s="474"/>
      <c r="T224" s="474"/>
      <c r="U224" s="474"/>
      <c r="V224" s="474"/>
      <c r="W224" s="474"/>
      <c r="X224" s="474"/>
      <c r="Y224" s="474"/>
      <c r="Z224" s="474"/>
      <c r="AA224" s="474"/>
      <c r="AB224" s="474"/>
      <c r="AC224" s="474"/>
      <c r="AD224" s="474"/>
      <c r="AE224" s="474"/>
      <c r="AF224" s="474"/>
      <c r="AG224" s="474"/>
      <c r="AH224" s="474"/>
      <c r="AI224" s="474"/>
      <c r="AJ224" s="474"/>
      <c r="AK224" s="474"/>
      <c r="AL224" s="474"/>
      <c r="AM224" s="474"/>
      <c r="AN224" s="474"/>
      <c r="AO224" s="474"/>
      <c r="AP224" s="474"/>
      <c r="AQ224" s="474"/>
      <c r="AR224" s="474"/>
      <c r="AS224" s="474"/>
      <c r="AT224" s="474"/>
      <c r="AU224" s="474"/>
      <c r="AV224" s="474"/>
      <c r="AW224" s="474"/>
      <c r="AX224" s="474"/>
      <c r="AY224" s="474"/>
      <c r="AZ224" s="474"/>
      <c r="BA224" s="474"/>
      <c r="BB224" s="474"/>
      <c r="BC224" s="474"/>
      <c r="BD224" s="474"/>
      <c r="BE224" s="474"/>
      <c r="BF224" s="474"/>
    </row>
    <row r="225" spans="1:58" s="475" customFormat="1" ht="25.2" customHeight="1">
      <c r="A225" s="473"/>
      <c r="B225" s="16" t="s">
        <v>774</v>
      </c>
      <c r="C225" s="16" t="s">
        <v>235</v>
      </c>
      <c r="D225" s="45" t="s">
        <v>190</v>
      </c>
      <c r="E225" s="16"/>
      <c r="F225" s="21" t="s">
        <v>507</v>
      </c>
      <c r="G225" s="173">
        <v>2</v>
      </c>
      <c r="H225" s="16" t="s">
        <v>1</v>
      </c>
      <c r="I225" s="19">
        <f>Cotação!E130</f>
        <v>113.91</v>
      </c>
      <c r="J225" s="19">
        <f t="shared" si="30"/>
        <v>137.26155</v>
      </c>
      <c r="K225" s="228">
        <f t="shared" si="31"/>
        <v>274.5231</v>
      </c>
      <c r="L225" s="242">
        <f>K225/K216</f>
        <v>9.4621815931452968E-2</v>
      </c>
      <c r="M225" s="258"/>
      <c r="N225" s="242"/>
      <c r="O225" s="474"/>
      <c r="P225" s="474"/>
      <c r="Q225" s="474"/>
      <c r="R225" s="474"/>
      <c r="S225" s="474"/>
      <c r="T225" s="474"/>
      <c r="U225" s="474"/>
      <c r="V225" s="474"/>
      <c r="W225" s="474"/>
      <c r="X225" s="474"/>
      <c r="Y225" s="474"/>
      <c r="Z225" s="474"/>
      <c r="AA225" s="474"/>
      <c r="AB225" s="474"/>
      <c r="AC225" s="474"/>
      <c r="AD225" s="474"/>
      <c r="AE225" s="474"/>
      <c r="AF225" s="474"/>
      <c r="AG225" s="474"/>
      <c r="AH225" s="474"/>
      <c r="AI225" s="474"/>
      <c r="AJ225" s="474"/>
      <c r="AK225" s="474"/>
      <c r="AL225" s="474"/>
      <c r="AM225" s="474"/>
      <c r="AN225" s="474"/>
      <c r="AO225" s="474"/>
      <c r="AP225" s="474"/>
      <c r="AQ225" s="474"/>
      <c r="AR225" s="474"/>
      <c r="AS225" s="474"/>
      <c r="AT225" s="474"/>
      <c r="AU225" s="474"/>
      <c r="AV225" s="474"/>
      <c r="AW225" s="474"/>
      <c r="AX225" s="474"/>
      <c r="AY225" s="474"/>
      <c r="AZ225" s="474"/>
      <c r="BA225" s="474"/>
      <c r="BB225" s="474"/>
      <c r="BC225" s="474"/>
      <c r="BD225" s="474"/>
      <c r="BE225" s="474"/>
      <c r="BF225" s="474"/>
    </row>
    <row r="226" spans="1:58" s="475" customFormat="1" ht="25.2" customHeight="1">
      <c r="A226" s="473"/>
      <c r="B226" s="16" t="s">
        <v>775</v>
      </c>
      <c r="C226" s="16" t="s">
        <v>235</v>
      </c>
      <c r="D226" s="45" t="s">
        <v>191</v>
      </c>
      <c r="E226" s="16"/>
      <c r="F226" s="21" t="s">
        <v>931</v>
      </c>
      <c r="G226" s="173">
        <v>1</v>
      </c>
      <c r="H226" s="16" t="s">
        <v>1</v>
      </c>
      <c r="I226" s="19">
        <v>177.59</v>
      </c>
      <c r="J226" s="19">
        <f t="shared" si="30"/>
        <v>213.99594999999999</v>
      </c>
      <c r="K226" s="228">
        <f t="shared" si="31"/>
        <v>213.99594999999999</v>
      </c>
      <c r="L226" s="242">
        <f>K226/K216</f>
        <v>7.3759495616129975E-2</v>
      </c>
      <c r="M226" s="258"/>
      <c r="N226" s="242"/>
      <c r="O226" s="474"/>
      <c r="P226" s="474"/>
      <c r="Q226" s="474"/>
      <c r="R226" s="474"/>
      <c r="S226" s="474"/>
      <c r="T226" s="474"/>
      <c r="U226" s="474"/>
      <c r="V226" s="474"/>
      <c r="W226" s="474"/>
      <c r="X226" s="474"/>
      <c r="Y226" s="474"/>
      <c r="Z226" s="474"/>
      <c r="AA226" s="474"/>
      <c r="AB226" s="474"/>
      <c r="AC226" s="474"/>
      <c r="AD226" s="474"/>
      <c r="AE226" s="474"/>
      <c r="AF226" s="474"/>
      <c r="AG226" s="474"/>
      <c r="AH226" s="474"/>
      <c r="AI226" s="474"/>
      <c r="AJ226" s="474"/>
      <c r="AK226" s="474"/>
      <c r="AL226" s="474"/>
      <c r="AM226" s="474"/>
      <c r="AN226" s="474"/>
      <c r="AO226" s="474"/>
      <c r="AP226" s="474"/>
      <c r="AQ226" s="474"/>
      <c r="AR226" s="474"/>
      <c r="AS226" s="474"/>
      <c r="AT226" s="474"/>
      <c r="AU226" s="474"/>
      <c r="AV226" s="474"/>
      <c r="AW226" s="474"/>
      <c r="AX226" s="474"/>
      <c r="AY226" s="474"/>
      <c r="AZ226" s="474"/>
      <c r="BA226" s="474"/>
      <c r="BB226" s="474"/>
      <c r="BC226" s="474"/>
      <c r="BD226" s="474"/>
      <c r="BE226" s="474"/>
      <c r="BF226" s="474"/>
    </row>
    <row r="227" spans="1:58" s="475" customFormat="1" ht="25.2" customHeight="1">
      <c r="A227" s="473"/>
      <c r="B227" s="16" t="s">
        <v>776</v>
      </c>
      <c r="C227" s="16" t="s">
        <v>235</v>
      </c>
      <c r="D227" s="45" t="s">
        <v>192</v>
      </c>
      <c r="E227" s="179"/>
      <c r="F227" s="21" t="s">
        <v>930</v>
      </c>
      <c r="G227" s="173">
        <v>2</v>
      </c>
      <c r="H227" s="16" t="s">
        <v>1</v>
      </c>
      <c r="I227" s="19">
        <f>Cotação!E144</f>
        <v>116.87</v>
      </c>
      <c r="J227" s="19">
        <f t="shared" si="30"/>
        <v>140.82835</v>
      </c>
      <c r="K227" s="228">
        <f t="shared" si="31"/>
        <v>281.6567</v>
      </c>
      <c r="L227" s="242">
        <f>K227/K216</f>
        <v>9.7080604230611087E-2</v>
      </c>
      <c r="M227" s="258"/>
      <c r="N227" s="242"/>
      <c r="O227" s="474"/>
      <c r="P227" s="474"/>
      <c r="Q227" s="474"/>
      <c r="R227" s="474"/>
      <c r="S227" s="474"/>
      <c r="T227" s="474"/>
      <c r="U227" s="474"/>
      <c r="V227" s="474"/>
      <c r="W227" s="474"/>
      <c r="X227" s="474"/>
      <c r="Y227" s="474"/>
      <c r="Z227" s="474"/>
      <c r="AA227" s="474"/>
      <c r="AB227" s="474"/>
      <c r="AC227" s="474"/>
      <c r="AD227" s="474"/>
      <c r="AE227" s="474"/>
      <c r="AF227" s="474"/>
      <c r="AG227" s="474"/>
      <c r="AH227" s="474"/>
      <c r="AI227" s="474"/>
      <c r="AJ227" s="474"/>
      <c r="AK227" s="474"/>
      <c r="AL227" s="474"/>
      <c r="AM227" s="474"/>
      <c r="AN227" s="474"/>
      <c r="AO227" s="474"/>
      <c r="AP227" s="474"/>
      <c r="AQ227" s="474"/>
      <c r="AR227" s="474"/>
      <c r="AS227" s="474"/>
      <c r="AT227" s="474"/>
      <c r="AU227" s="474"/>
      <c r="AV227" s="474"/>
      <c r="AW227" s="474"/>
      <c r="AX227" s="474"/>
      <c r="AY227" s="474"/>
      <c r="AZ227" s="474"/>
      <c r="BA227" s="474"/>
      <c r="BB227" s="474"/>
      <c r="BC227" s="474"/>
      <c r="BD227" s="474"/>
      <c r="BE227" s="474"/>
      <c r="BF227" s="474"/>
    </row>
    <row r="228" spans="1:58" customFormat="1" ht="25.2" customHeight="1">
      <c r="B228" s="494"/>
      <c r="C228" s="495"/>
      <c r="D228" s="496"/>
      <c r="E228" s="495"/>
      <c r="F228" s="495"/>
      <c r="G228" s="498"/>
      <c r="H228" s="495"/>
      <c r="I228" s="495"/>
      <c r="J228" s="495"/>
      <c r="K228" s="495"/>
      <c r="L228" s="496"/>
      <c r="M228" s="496"/>
      <c r="N228" s="501"/>
    </row>
    <row r="229" spans="1:58" ht="25.2" customHeight="1">
      <c r="B229" s="26" t="s">
        <v>28</v>
      </c>
      <c r="C229" s="537" t="s">
        <v>135</v>
      </c>
      <c r="D229" s="538"/>
      <c r="E229" s="538"/>
      <c r="F229" s="538"/>
      <c r="G229" s="538"/>
      <c r="H229" s="538"/>
      <c r="I229" s="538"/>
      <c r="J229" s="539"/>
      <c r="K229" s="234">
        <f>SUM(K230:K234)</f>
        <v>4952.7910000000002</v>
      </c>
      <c r="L229" s="240">
        <f>SUM(L230:L234)</f>
        <v>1</v>
      </c>
      <c r="M229" s="256">
        <f>K229/K296</f>
        <v>3.8374046589054037E-2</v>
      </c>
      <c r="N229" s="240">
        <f>K229/K398</f>
        <v>7.6206113172697333E-3</v>
      </c>
    </row>
    <row r="230" spans="1:58" s="475" customFormat="1" ht="25.2" customHeight="1">
      <c r="A230" s="473"/>
      <c r="B230" s="16" t="s">
        <v>777</v>
      </c>
      <c r="C230" s="16" t="s">
        <v>10</v>
      </c>
      <c r="D230" s="45" t="s">
        <v>535</v>
      </c>
      <c r="E230" s="16"/>
      <c r="F230" s="21" t="s">
        <v>534</v>
      </c>
      <c r="G230" s="173">
        <v>500</v>
      </c>
      <c r="H230" s="16" t="s">
        <v>13</v>
      </c>
      <c r="I230" s="19">
        <v>2.15</v>
      </c>
      <c r="J230" s="19">
        <f>I230*$I$3+I230</f>
        <v>2.5907499999999999</v>
      </c>
      <c r="K230" s="228">
        <f>G230*J230</f>
        <v>1295.375</v>
      </c>
      <c r="L230" s="242">
        <f>K230/K229</f>
        <v>0.26154445039170843</v>
      </c>
      <c r="M230" s="258"/>
      <c r="N230" s="242"/>
      <c r="O230" s="474"/>
      <c r="P230" s="474"/>
      <c r="Q230" s="474"/>
      <c r="R230" s="474"/>
      <c r="S230" s="474"/>
      <c r="T230" s="474"/>
      <c r="U230" s="474"/>
      <c r="V230" s="474"/>
      <c r="W230" s="474"/>
      <c r="X230" s="474"/>
      <c r="Y230" s="474"/>
      <c r="Z230" s="474"/>
      <c r="AA230" s="474"/>
      <c r="AB230" s="474"/>
      <c r="AC230" s="474"/>
      <c r="AD230" s="474"/>
      <c r="AE230" s="474"/>
      <c r="AF230" s="474"/>
      <c r="AG230" s="474"/>
      <c r="AH230" s="474"/>
      <c r="AI230" s="474"/>
      <c r="AJ230" s="474"/>
      <c r="AK230" s="474"/>
      <c r="AL230" s="474"/>
      <c r="AM230" s="474"/>
      <c r="AN230" s="474"/>
      <c r="AO230" s="474"/>
      <c r="AP230" s="474"/>
      <c r="AQ230" s="474"/>
      <c r="AR230" s="474"/>
      <c r="AS230" s="474"/>
      <c r="AT230" s="474"/>
      <c r="AU230" s="474"/>
      <c r="AV230" s="474"/>
      <c r="AW230" s="474"/>
      <c r="AX230" s="474"/>
      <c r="AY230" s="474"/>
      <c r="AZ230" s="474"/>
      <c r="BA230" s="474"/>
      <c r="BB230" s="474"/>
      <c r="BC230" s="474"/>
      <c r="BD230" s="474"/>
      <c r="BE230" s="474"/>
      <c r="BF230" s="474"/>
    </row>
    <row r="231" spans="1:58" s="475" customFormat="1" ht="25.2" customHeight="1">
      <c r="A231" s="473"/>
      <c r="B231" s="16" t="s">
        <v>778</v>
      </c>
      <c r="C231" s="16" t="s">
        <v>10</v>
      </c>
      <c r="D231" s="45" t="s">
        <v>537</v>
      </c>
      <c r="E231" s="16"/>
      <c r="F231" s="21" t="s">
        <v>536</v>
      </c>
      <c r="G231" s="173">
        <v>600</v>
      </c>
      <c r="H231" s="16" t="s">
        <v>13</v>
      </c>
      <c r="I231" s="19">
        <v>3.04</v>
      </c>
      <c r="J231" s="19">
        <f>I231*$I$3+I231</f>
        <v>3.6631999999999998</v>
      </c>
      <c r="K231" s="228">
        <f>G231*J231</f>
        <v>2197.92</v>
      </c>
      <c r="L231" s="242">
        <f>K231/K229</f>
        <v>0.44377402559486157</v>
      </c>
      <c r="M231" s="258"/>
      <c r="N231" s="242"/>
      <c r="O231" s="474"/>
      <c r="P231" s="474"/>
      <c r="Q231" s="474"/>
      <c r="R231" s="474"/>
      <c r="S231" s="474"/>
      <c r="T231" s="474"/>
      <c r="U231" s="474"/>
      <c r="V231" s="474"/>
      <c r="W231" s="474"/>
      <c r="X231" s="474"/>
      <c r="Y231" s="474"/>
      <c r="Z231" s="474"/>
      <c r="AA231" s="474"/>
      <c r="AB231" s="474"/>
      <c r="AC231" s="474"/>
      <c r="AD231" s="474"/>
      <c r="AE231" s="474"/>
      <c r="AF231" s="474"/>
      <c r="AG231" s="474"/>
      <c r="AH231" s="474"/>
      <c r="AI231" s="474"/>
      <c r="AJ231" s="474"/>
      <c r="AK231" s="474"/>
      <c r="AL231" s="474"/>
      <c r="AM231" s="474"/>
      <c r="AN231" s="474"/>
      <c r="AO231" s="474"/>
      <c r="AP231" s="474"/>
      <c r="AQ231" s="474"/>
      <c r="AR231" s="474"/>
      <c r="AS231" s="474"/>
      <c r="AT231" s="474"/>
      <c r="AU231" s="474"/>
      <c r="AV231" s="474"/>
      <c r="AW231" s="474"/>
      <c r="AX231" s="474"/>
      <c r="AY231" s="474"/>
      <c r="AZ231" s="474"/>
      <c r="BA231" s="474"/>
      <c r="BB231" s="474"/>
      <c r="BC231" s="474"/>
      <c r="BD231" s="474"/>
      <c r="BE231" s="474"/>
      <c r="BF231" s="474"/>
    </row>
    <row r="232" spans="1:58" s="475" customFormat="1" ht="25.2" customHeight="1">
      <c r="A232" s="473"/>
      <c r="B232" s="16" t="s">
        <v>779</v>
      </c>
      <c r="C232" s="16" t="s">
        <v>10</v>
      </c>
      <c r="D232" s="45" t="s">
        <v>936</v>
      </c>
      <c r="E232" s="16"/>
      <c r="F232" s="21" t="s">
        <v>934</v>
      </c>
      <c r="G232" s="173">
        <v>50</v>
      </c>
      <c r="H232" s="16" t="s">
        <v>13</v>
      </c>
      <c r="I232" s="19">
        <v>4.76</v>
      </c>
      <c r="J232" s="19">
        <f>I232*$I$3+I232</f>
        <v>5.7357999999999993</v>
      </c>
      <c r="K232" s="228">
        <f>G232*J232</f>
        <v>286.78999999999996</v>
      </c>
      <c r="L232" s="242">
        <f>K232/K229</f>
        <v>5.7904724830908465E-2</v>
      </c>
      <c r="M232" s="258"/>
      <c r="N232" s="242"/>
      <c r="O232" s="474"/>
      <c r="P232" s="474"/>
      <c r="Q232" s="474"/>
      <c r="R232" s="474"/>
      <c r="S232" s="474"/>
      <c r="T232" s="474"/>
      <c r="U232" s="474"/>
      <c r="V232" s="474"/>
      <c r="W232" s="474"/>
      <c r="X232" s="474"/>
      <c r="Y232" s="474"/>
      <c r="Z232" s="474"/>
      <c r="AA232" s="474"/>
      <c r="AB232" s="474"/>
      <c r="AC232" s="474"/>
      <c r="AD232" s="474"/>
      <c r="AE232" s="474"/>
      <c r="AF232" s="474"/>
      <c r="AG232" s="474"/>
      <c r="AH232" s="474"/>
      <c r="AI232" s="474"/>
      <c r="AJ232" s="474"/>
      <c r="AK232" s="474"/>
      <c r="AL232" s="474"/>
      <c r="AM232" s="474"/>
      <c r="AN232" s="474"/>
      <c r="AO232" s="474"/>
      <c r="AP232" s="474"/>
      <c r="AQ232" s="474"/>
      <c r="AR232" s="474"/>
      <c r="AS232" s="474"/>
      <c r="AT232" s="474"/>
      <c r="AU232" s="474"/>
      <c r="AV232" s="474"/>
      <c r="AW232" s="474"/>
      <c r="AX232" s="474"/>
      <c r="AY232" s="474"/>
      <c r="AZ232" s="474"/>
      <c r="BA232" s="474"/>
      <c r="BB232" s="474"/>
      <c r="BC232" s="474"/>
      <c r="BD232" s="474"/>
      <c r="BE232" s="474"/>
      <c r="BF232" s="474"/>
    </row>
    <row r="233" spans="1:58" s="475" customFormat="1" ht="25.2" customHeight="1">
      <c r="A233" s="473"/>
      <c r="B233" s="16" t="s">
        <v>780</v>
      </c>
      <c r="C233" s="16" t="s">
        <v>10</v>
      </c>
      <c r="D233" s="45" t="s">
        <v>538</v>
      </c>
      <c r="E233" s="16"/>
      <c r="F233" s="21" t="s">
        <v>606</v>
      </c>
      <c r="G233" s="173">
        <v>70</v>
      </c>
      <c r="H233" s="16" t="s">
        <v>13</v>
      </c>
      <c r="I233" s="19">
        <v>6.46</v>
      </c>
      <c r="J233" s="19">
        <f>I233*$I$3+I233</f>
        <v>7.7843</v>
      </c>
      <c r="K233" s="228">
        <f>G233*J233</f>
        <v>544.90099999999995</v>
      </c>
      <c r="L233" s="242">
        <f>K233/K229</f>
        <v>0.11001897717872608</v>
      </c>
      <c r="M233" s="258"/>
      <c r="N233" s="242"/>
      <c r="O233" s="474"/>
      <c r="P233" s="474"/>
      <c r="Q233" s="474"/>
      <c r="R233" s="474"/>
      <c r="S233" s="474"/>
      <c r="T233" s="474"/>
      <c r="U233" s="474"/>
      <c r="V233" s="474"/>
      <c r="W233" s="474"/>
      <c r="X233" s="474"/>
      <c r="Y233" s="474"/>
      <c r="Z233" s="474"/>
      <c r="AA233" s="474"/>
      <c r="AB233" s="474"/>
      <c r="AC233" s="474"/>
      <c r="AD233" s="474"/>
      <c r="AE233" s="474"/>
      <c r="AF233" s="474"/>
      <c r="AG233" s="474"/>
      <c r="AH233" s="474"/>
      <c r="AI233" s="474"/>
      <c r="AJ233" s="474"/>
      <c r="AK233" s="474"/>
      <c r="AL233" s="474"/>
      <c r="AM233" s="474"/>
      <c r="AN233" s="474"/>
      <c r="AO233" s="474"/>
      <c r="AP233" s="474"/>
      <c r="AQ233" s="474"/>
      <c r="AR233" s="474"/>
      <c r="AS233" s="474"/>
      <c r="AT233" s="474"/>
      <c r="AU233" s="474"/>
      <c r="AV233" s="474"/>
      <c r="AW233" s="474"/>
      <c r="AX233" s="474"/>
      <c r="AY233" s="474"/>
      <c r="AZ233" s="474"/>
      <c r="BA233" s="474"/>
      <c r="BB233" s="474"/>
      <c r="BC233" s="474"/>
      <c r="BD233" s="474"/>
      <c r="BE233" s="474"/>
      <c r="BF233" s="474"/>
    </row>
    <row r="234" spans="1:58" s="475" customFormat="1" ht="25.2" customHeight="1">
      <c r="A234" s="473"/>
      <c r="B234" s="16" t="s">
        <v>938</v>
      </c>
      <c r="C234" s="16" t="s">
        <v>10</v>
      </c>
      <c r="D234" s="45" t="s">
        <v>937</v>
      </c>
      <c r="E234" s="16"/>
      <c r="F234" s="21" t="s">
        <v>935</v>
      </c>
      <c r="G234" s="173">
        <v>50</v>
      </c>
      <c r="H234" s="16" t="s">
        <v>13</v>
      </c>
      <c r="I234" s="19">
        <v>10.42</v>
      </c>
      <c r="J234" s="19">
        <f>I234*$I$3+I234</f>
        <v>12.556100000000001</v>
      </c>
      <c r="K234" s="228">
        <f>G234*J234</f>
        <v>627.80500000000006</v>
      </c>
      <c r="L234" s="242">
        <f>K234/K229</f>
        <v>0.12675782200379546</v>
      </c>
      <c r="M234" s="258"/>
      <c r="N234" s="242"/>
      <c r="O234" s="474"/>
      <c r="P234" s="474"/>
      <c r="Q234" s="474"/>
      <c r="R234" s="474"/>
      <c r="S234" s="474"/>
      <c r="T234" s="474"/>
      <c r="U234" s="474"/>
      <c r="V234" s="474"/>
      <c r="W234" s="474"/>
      <c r="X234" s="474"/>
      <c r="Y234" s="474"/>
      <c r="Z234" s="474"/>
      <c r="AA234" s="474"/>
      <c r="AB234" s="474"/>
      <c r="AC234" s="474"/>
      <c r="AD234" s="474"/>
      <c r="AE234" s="474"/>
      <c r="AF234" s="474"/>
      <c r="AG234" s="474"/>
      <c r="AH234" s="474"/>
      <c r="AI234" s="474"/>
      <c r="AJ234" s="474"/>
      <c r="AK234" s="474"/>
      <c r="AL234" s="474"/>
      <c r="AM234" s="474"/>
      <c r="AN234" s="474"/>
      <c r="AO234" s="474"/>
      <c r="AP234" s="474"/>
      <c r="AQ234" s="474"/>
      <c r="AR234" s="474"/>
      <c r="AS234" s="474"/>
      <c r="AT234" s="474"/>
      <c r="AU234" s="474"/>
      <c r="AV234" s="474"/>
      <c r="AW234" s="474"/>
      <c r="AX234" s="474"/>
      <c r="AY234" s="474"/>
      <c r="AZ234" s="474"/>
      <c r="BA234" s="474"/>
      <c r="BB234" s="474"/>
      <c r="BC234" s="474"/>
      <c r="BD234" s="474"/>
      <c r="BE234" s="474"/>
      <c r="BF234" s="474"/>
    </row>
    <row r="235" spans="1:58" customFormat="1" ht="25.2" customHeight="1">
      <c r="B235" s="494"/>
      <c r="C235" s="495"/>
      <c r="D235" s="496"/>
      <c r="E235" s="495"/>
      <c r="F235" s="495"/>
      <c r="G235" s="498"/>
      <c r="H235" s="495"/>
      <c r="I235" s="495"/>
      <c r="J235" s="495"/>
      <c r="K235" s="495"/>
      <c r="L235" s="496"/>
      <c r="M235" s="496"/>
      <c r="N235" s="501"/>
    </row>
    <row r="236" spans="1:58" ht="25.2" customHeight="1">
      <c r="B236" s="26" t="s">
        <v>469</v>
      </c>
      <c r="C236" s="537" t="s">
        <v>39</v>
      </c>
      <c r="D236" s="538"/>
      <c r="E236" s="538"/>
      <c r="F236" s="538"/>
      <c r="G236" s="538"/>
      <c r="H236" s="538"/>
      <c r="I236" s="538"/>
      <c r="J236" s="539"/>
      <c r="K236" s="234">
        <f>SUM(K237:K251)</f>
        <v>8259.6122500000001</v>
      </c>
      <c r="L236" s="240">
        <f>SUM(L237:L251)</f>
        <v>0.99999999999999989</v>
      </c>
      <c r="M236" s="256">
        <f>K236/K296</f>
        <v>6.3995178736397595E-2</v>
      </c>
      <c r="N236" s="240">
        <f>K236/K398</f>
        <v>1.2708651463106303E-2</v>
      </c>
    </row>
    <row r="237" spans="1:58" s="483" customFormat="1" ht="25.2" customHeight="1">
      <c r="A237" s="473"/>
      <c r="B237" s="16" t="s">
        <v>781</v>
      </c>
      <c r="C237" s="31" t="s">
        <v>10</v>
      </c>
      <c r="D237" s="40" t="s">
        <v>509</v>
      </c>
      <c r="E237" s="31" t="s">
        <v>10</v>
      </c>
      <c r="F237" s="33" t="s">
        <v>510</v>
      </c>
      <c r="G237" s="174">
        <v>150</v>
      </c>
      <c r="H237" s="31" t="s">
        <v>13</v>
      </c>
      <c r="I237" s="34">
        <v>7.52</v>
      </c>
      <c r="J237" s="34">
        <f t="shared" ref="J237:J251" si="38">I237*$I$3+I237</f>
        <v>9.0615999999999985</v>
      </c>
      <c r="K237" s="233">
        <f t="shared" ref="K237:K251" si="39">G237*J237</f>
        <v>1359.2399999999998</v>
      </c>
      <c r="L237" s="285">
        <f>K237/K236</f>
        <v>0.16456462589996276</v>
      </c>
      <c r="M237" s="282"/>
      <c r="N237" s="285"/>
      <c r="O237" s="482"/>
      <c r="P237" s="482"/>
      <c r="Q237" s="482"/>
      <c r="R237" s="482"/>
      <c r="S237" s="482"/>
      <c r="T237" s="482"/>
      <c r="U237" s="482"/>
      <c r="V237" s="482"/>
      <c r="W237" s="482"/>
      <c r="X237" s="482"/>
      <c r="Y237" s="482"/>
      <c r="Z237" s="482"/>
      <c r="AA237" s="482"/>
      <c r="AB237" s="482"/>
      <c r="AC237" s="482"/>
      <c r="AD237" s="482"/>
      <c r="AE237" s="482"/>
      <c r="AF237" s="482"/>
      <c r="AG237" s="482"/>
      <c r="AH237" s="482"/>
      <c r="AI237" s="482"/>
      <c r="AJ237" s="482"/>
      <c r="AK237" s="482"/>
      <c r="AL237" s="482"/>
      <c r="AM237" s="482"/>
      <c r="AN237" s="482"/>
      <c r="AO237" s="482"/>
      <c r="AP237" s="482"/>
      <c r="AQ237" s="482"/>
      <c r="AR237" s="482"/>
      <c r="AS237" s="482"/>
      <c r="AT237" s="482"/>
      <c r="AU237" s="482"/>
      <c r="AV237" s="482"/>
      <c r="AW237" s="482"/>
      <c r="AX237" s="482"/>
      <c r="AY237" s="482"/>
      <c r="AZ237" s="482"/>
      <c r="BA237" s="482"/>
      <c r="BB237" s="482"/>
      <c r="BC237" s="482"/>
      <c r="BD237" s="482"/>
      <c r="BE237" s="482"/>
      <c r="BF237" s="482"/>
    </row>
    <row r="238" spans="1:58" s="483" customFormat="1" ht="25.2" customHeight="1">
      <c r="A238" s="473"/>
      <c r="B238" s="16" t="s">
        <v>782</v>
      </c>
      <c r="C238" s="31" t="s">
        <v>10</v>
      </c>
      <c r="D238" s="40" t="s">
        <v>939</v>
      </c>
      <c r="E238" s="31"/>
      <c r="F238" s="33" t="s">
        <v>511</v>
      </c>
      <c r="G238" s="174">
        <v>150</v>
      </c>
      <c r="H238" s="31" t="s">
        <v>13</v>
      </c>
      <c r="I238" s="34">
        <v>10.02</v>
      </c>
      <c r="J238" s="34">
        <f t="shared" si="38"/>
        <v>12.0741</v>
      </c>
      <c r="K238" s="233">
        <f t="shared" si="39"/>
        <v>1811.115</v>
      </c>
      <c r="L238" s="285">
        <f>K238/K236</f>
        <v>0.21927361057415257</v>
      </c>
      <c r="M238" s="282"/>
      <c r="N238" s="285"/>
      <c r="O238" s="482"/>
      <c r="P238" s="482"/>
      <c r="Q238" s="482"/>
      <c r="R238" s="482"/>
      <c r="S238" s="482"/>
      <c r="T238" s="482"/>
      <c r="U238" s="482"/>
      <c r="V238" s="482"/>
      <c r="W238" s="482"/>
      <c r="X238" s="482"/>
      <c r="Y238" s="482"/>
      <c r="Z238" s="482"/>
      <c r="AA238" s="482"/>
      <c r="AB238" s="482"/>
      <c r="AC238" s="482"/>
      <c r="AD238" s="482"/>
      <c r="AE238" s="482"/>
      <c r="AF238" s="482"/>
      <c r="AG238" s="482"/>
      <c r="AH238" s="482"/>
      <c r="AI238" s="482"/>
      <c r="AJ238" s="482"/>
      <c r="AK238" s="482"/>
      <c r="AL238" s="482"/>
      <c r="AM238" s="482"/>
      <c r="AN238" s="482"/>
      <c r="AO238" s="482"/>
      <c r="AP238" s="482"/>
      <c r="AQ238" s="482"/>
      <c r="AR238" s="482"/>
      <c r="AS238" s="482"/>
      <c r="AT238" s="482"/>
      <c r="AU238" s="482"/>
      <c r="AV238" s="482"/>
      <c r="AW238" s="482"/>
      <c r="AX238" s="482"/>
      <c r="AY238" s="482"/>
      <c r="AZ238" s="482"/>
      <c r="BA238" s="482"/>
      <c r="BB238" s="482"/>
      <c r="BC238" s="482"/>
      <c r="BD238" s="482"/>
      <c r="BE238" s="482"/>
      <c r="BF238" s="482"/>
    </row>
    <row r="239" spans="1:58" s="483" customFormat="1" ht="25.2" customHeight="1">
      <c r="A239" s="473"/>
      <c r="B239" s="16" t="s">
        <v>783</v>
      </c>
      <c r="C239" s="31" t="s">
        <v>10</v>
      </c>
      <c r="D239" s="40" t="s">
        <v>512</v>
      </c>
      <c r="E239" s="31"/>
      <c r="F239" s="33" t="s">
        <v>513</v>
      </c>
      <c r="G239" s="174">
        <v>100</v>
      </c>
      <c r="H239" s="31" t="s">
        <v>13</v>
      </c>
      <c r="I239" s="34">
        <v>8.81</v>
      </c>
      <c r="J239" s="34">
        <f t="shared" si="38"/>
        <v>10.616050000000001</v>
      </c>
      <c r="K239" s="233">
        <f t="shared" si="39"/>
        <v>1061.605</v>
      </c>
      <c r="L239" s="285">
        <f>K239/K236</f>
        <v>0.12852964132789649</v>
      </c>
      <c r="M239" s="282"/>
      <c r="N239" s="285"/>
      <c r="O239" s="482"/>
      <c r="P239" s="482"/>
      <c r="Q239" s="482"/>
      <c r="R239" s="482"/>
      <c r="S239" s="482"/>
      <c r="T239" s="482"/>
      <c r="U239" s="482"/>
      <c r="V239" s="482"/>
      <c r="W239" s="482"/>
      <c r="X239" s="482"/>
      <c r="Y239" s="482"/>
      <c r="Z239" s="482"/>
      <c r="AA239" s="482"/>
      <c r="AB239" s="482"/>
      <c r="AC239" s="482"/>
      <c r="AD239" s="482"/>
      <c r="AE239" s="482"/>
      <c r="AF239" s="482"/>
      <c r="AG239" s="482"/>
      <c r="AH239" s="482"/>
      <c r="AI239" s="482"/>
      <c r="AJ239" s="482"/>
      <c r="AK239" s="482"/>
      <c r="AL239" s="482"/>
      <c r="AM239" s="482"/>
      <c r="AN239" s="482"/>
      <c r="AO239" s="482"/>
      <c r="AP239" s="482"/>
      <c r="AQ239" s="482"/>
      <c r="AR239" s="482"/>
      <c r="AS239" s="482"/>
      <c r="AT239" s="482"/>
      <c r="AU239" s="482"/>
      <c r="AV239" s="482"/>
      <c r="AW239" s="482"/>
      <c r="AX239" s="482"/>
      <c r="AY239" s="482"/>
      <c r="AZ239" s="482"/>
      <c r="BA239" s="482"/>
      <c r="BB239" s="482"/>
      <c r="BC239" s="482"/>
      <c r="BD239" s="482"/>
      <c r="BE239" s="482"/>
      <c r="BF239" s="482"/>
    </row>
    <row r="240" spans="1:58" s="475" customFormat="1" ht="25.2" customHeight="1">
      <c r="A240" s="473"/>
      <c r="B240" s="16" t="s">
        <v>784</v>
      </c>
      <c r="C240" s="16" t="s">
        <v>10</v>
      </c>
      <c r="D240" s="45" t="s">
        <v>520</v>
      </c>
      <c r="E240" s="16" t="s">
        <v>10</v>
      </c>
      <c r="F240" s="21" t="s">
        <v>519</v>
      </c>
      <c r="G240" s="173">
        <v>50</v>
      </c>
      <c r="H240" s="16" t="s">
        <v>13</v>
      </c>
      <c r="I240" s="19">
        <v>11.49</v>
      </c>
      <c r="J240" s="19">
        <f t="shared" si="38"/>
        <v>13.84545</v>
      </c>
      <c r="K240" s="228">
        <f t="shared" si="39"/>
        <v>692.27250000000004</v>
      </c>
      <c r="L240" s="242">
        <f>K240/K236</f>
        <v>8.3814164520858714E-2</v>
      </c>
      <c r="M240" s="258"/>
      <c r="N240" s="242"/>
      <c r="O240" s="474"/>
      <c r="P240" s="474"/>
      <c r="Q240" s="474"/>
      <c r="R240" s="474"/>
      <c r="S240" s="474"/>
      <c r="T240" s="474"/>
      <c r="U240" s="474"/>
      <c r="V240" s="474"/>
      <c r="W240" s="474"/>
      <c r="X240" s="474"/>
      <c r="Y240" s="474"/>
      <c r="Z240" s="474"/>
      <c r="AA240" s="474"/>
      <c r="AB240" s="474"/>
      <c r="AC240" s="474"/>
      <c r="AD240" s="474"/>
      <c r="AE240" s="474"/>
      <c r="AF240" s="474"/>
      <c r="AG240" s="474"/>
      <c r="AH240" s="474"/>
      <c r="AI240" s="474"/>
      <c r="AJ240" s="474"/>
      <c r="AK240" s="474"/>
      <c r="AL240" s="474"/>
      <c r="AM240" s="474"/>
      <c r="AN240" s="474"/>
      <c r="AO240" s="474"/>
      <c r="AP240" s="474"/>
      <c r="AQ240" s="474"/>
      <c r="AR240" s="474"/>
      <c r="AS240" s="474"/>
      <c r="AT240" s="474"/>
      <c r="AU240" s="474"/>
      <c r="AV240" s="474"/>
      <c r="AW240" s="474"/>
      <c r="AX240" s="474"/>
      <c r="AY240" s="474"/>
      <c r="AZ240" s="474"/>
      <c r="BA240" s="474"/>
      <c r="BB240" s="474"/>
      <c r="BC240" s="474"/>
      <c r="BD240" s="474"/>
      <c r="BE240" s="474"/>
      <c r="BF240" s="474"/>
    </row>
    <row r="241" spans="1:58" s="475" customFormat="1" ht="25.2" customHeight="1">
      <c r="A241" s="473"/>
      <c r="B241" s="16" t="s">
        <v>785</v>
      </c>
      <c r="C241" s="16" t="s">
        <v>10</v>
      </c>
      <c r="D241" s="193" t="s">
        <v>523</v>
      </c>
      <c r="E241" s="194"/>
      <c r="F241" s="195" t="s">
        <v>521</v>
      </c>
      <c r="G241" s="196">
        <v>10</v>
      </c>
      <c r="H241" s="16" t="s">
        <v>1</v>
      </c>
      <c r="I241" s="197">
        <v>13.3</v>
      </c>
      <c r="J241" s="197">
        <f t="shared" si="38"/>
        <v>16.026500000000002</v>
      </c>
      <c r="K241" s="227">
        <f t="shared" si="39"/>
        <v>160.26500000000001</v>
      </c>
      <c r="L241" s="242">
        <f>K241/K236</f>
        <v>1.9403453231112637E-2</v>
      </c>
      <c r="M241" s="258"/>
      <c r="N241" s="242"/>
      <c r="O241" s="474"/>
      <c r="P241" s="474"/>
      <c r="Q241" s="474"/>
      <c r="R241" s="474"/>
      <c r="S241" s="474"/>
      <c r="T241" s="474"/>
      <c r="U241" s="474"/>
      <c r="V241" s="474"/>
      <c r="W241" s="474"/>
      <c r="X241" s="474"/>
      <c r="Y241" s="474"/>
      <c r="Z241" s="474"/>
      <c r="AA241" s="474"/>
      <c r="AB241" s="474"/>
      <c r="AC241" s="474"/>
      <c r="AD241" s="474"/>
      <c r="AE241" s="474"/>
      <c r="AF241" s="474"/>
      <c r="AG241" s="474"/>
      <c r="AH241" s="474"/>
      <c r="AI241" s="474"/>
      <c r="AJ241" s="474"/>
      <c r="AK241" s="474"/>
      <c r="AL241" s="474"/>
      <c r="AM241" s="474"/>
      <c r="AN241" s="474"/>
      <c r="AO241" s="474"/>
      <c r="AP241" s="474"/>
      <c r="AQ241" s="474"/>
      <c r="AR241" s="474"/>
      <c r="AS241" s="474"/>
      <c r="AT241" s="474"/>
      <c r="AU241" s="474"/>
      <c r="AV241" s="474"/>
      <c r="AW241" s="474"/>
      <c r="AX241" s="474"/>
      <c r="AY241" s="474"/>
      <c r="AZ241" s="474"/>
      <c r="BA241" s="474"/>
      <c r="BB241" s="474"/>
      <c r="BC241" s="474"/>
      <c r="BD241" s="474"/>
      <c r="BE241" s="474"/>
      <c r="BF241" s="474"/>
    </row>
    <row r="242" spans="1:58" s="475" customFormat="1" ht="25.2" customHeight="1">
      <c r="A242" s="473"/>
      <c r="B242" s="16" t="s">
        <v>786</v>
      </c>
      <c r="C242" s="16" t="s">
        <v>10</v>
      </c>
      <c r="D242" s="193" t="s">
        <v>524</v>
      </c>
      <c r="E242" s="194"/>
      <c r="F242" s="195" t="s">
        <v>522</v>
      </c>
      <c r="G242" s="196">
        <v>15</v>
      </c>
      <c r="H242" s="16" t="s">
        <v>1</v>
      </c>
      <c r="I242" s="197">
        <v>20.23</v>
      </c>
      <c r="J242" s="197">
        <f t="shared" si="38"/>
        <v>24.37715</v>
      </c>
      <c r="K242" s="227">
        <f t="shared" si="39"/>
        <v>365.65724999999998</v>
      </c>
      <c r="L242" s="242">
        <f>K242/K236</f>
        <v>4.4270510398354349E-2</v>
      </c>
      <c r="M242" s="258"/>
      <c r="N242" s="242"/>
      <c r="O242" s="474"/>
      <c r="P242" s="474"/>
      <c r="Q242" s="474"/>
      <c r="R242" s="474"/>
      <c r="S242" s="474"/>
      <c r="T242" s="474"/>
      <c r="U242" s="474"/>
      <c r="V242" s="474"/>
      <c r="W242" s="474"/>
      <c r="X242" s="474"/>
      <c r="Y242" s="474"/>
      <c r="Z242" s="474"/>
      <c r="AA242" s="474"/>
      <c r="AB242" s="474"/>
      <c r="AC242" s="474"/>
      <c r="AD242" s="474"/>
      <c r="AE242" s="474"/>
      <c r="AF242" s="474"/>
      <c r="AG242" s="474"/>
      <c r="AH242" s="474"/>
      <c r="AI242" s="474"/>
      <c r="AJ242" s="474"/>
      <c r="AK242" s="474"/>
      <c r="AL242" s="474"/>
      <c r="AM242" s="474"/>
      <c r="AN242" s="474"/>
      <c r="AO242" s="474"/>
      <c r="AP242" s="474"/>
      <c r="AQ242" s="474"/>
      <c r="AR242" s="474"/>
      <c r="AS242" s="474"/>
      <c r="AT242" s="474"/>
      <c r="AU242" s="474"/>
      <c r="AV242" s="474"/>
      <c r="AW242" s="474"/>
      <c r="AX242" s="474"/>
      <c r="AY242" s="474"/>
      <c r="AZ242" s="474"/>
      <c r="BA242" s="474"/>
      <c r="BB242" s="474"/>
      <c r="BC242" s="474"/>
      <c r="BD242" s="474"/>
      <c r="BE242" s="474"/>
      <c r="BF242" s="474"/>
    </row>
    <row r="243" spans="1:58" s="475" customFormat="1" ht="25.2" customHeight="1">
      <c r="A243" s="473"/>
      <c r="B243" s="16" t="s">
        <v>787</v>
      </c>
      <c r="C243" s="16" t="s">
        <v>231</v>
      </c>
      <c r="D243" s="193" t="s">
        <v>193</v>
      </c>
      <c r="E243" s="194"/>
      <c r="F243" s="195" t="s">
        <v>624</v>
      </c>
      <c r="G243" s="196">
        <v>20</v>
      </c>
      <c r="H243" s="16" t="s">
        <v>1</v>
      </c>
      <c r="I243" s="197">
        <f>Cotação!E149</f>
        <v>6.22</v>
      </c>
      <c r="J243" s="197">
        <f t="shared" si="38"/>
        <v>7.4950999999999999</v>
      </c>
      <c r="K243" s="227">
        <f t="shared" si="39"/>
        <v>149.90199999999999</v>
      </c>
      <c r="L243" s="242">
        <f>K243/K236</f>
        <v>1.8148793849251214E-2</v>
      </c>
      <c r="M243" s="258"/>
      <c r="N243" s="242"/>
      <c r="O243" s="474"/>
      <c r="P243" s="474"/>
      <c r="Q243" s="474"/>
      <c r="R243" s="474"/>
      <c r="S243" s="474"/>
      <c r="T243" s="474"/>
      <c r="U243" s="474"/>
      <c r="V243" s="474"/>
      <c r="W243" s="474"/>
      <c r="X243" s="474"/>
      <c r="Y243" s="474"/>
      <c r="Z243" s="474"/>
      <c r="AA243" s="474"/>
      <c r="AB243" s="474"/>
      <c r="AC243" s="474"/>
      <c r="AD243" s="474"/>
      <c r="AE243" s="474"/>
      <c r="AF243" s="474"/>
      <c r="AG243" s="474"/>
      <c r="AH243" s="474"/>
      <c r="AI243" s="474"/>
      <c r="AJ243" s="474"/>
      <c r="AK243" s="474"/>
      <c r="AL243" s="474"/>
      <c r="AM243" s="474"/>
      <c r="AN243" s="474"/>
      <c r="AO243" s="474"/>
      <c r="AP243" s="474"/>
      <c r="AQ243" s="474"/>
      <c r="AR243" s="474"/>
      <c r="AS243" s="474"/>
      <c r="AT243" s="474"/>
      <c r="AU243" s="474"/>
      <c r="AV243" s="474"/>
      <c r="AW243" s="474"/>
      <c r="AX243" s="474"/>
      <c r="AY243" s="474"/>
      <c r="AZ243" s="474"/>
      <c r="BA243" s="474"/>
      <c r="BB243" s="474"/>
      <c r="BC243" s="474"/>
      <c r="BD243" s="474"/>
      <c r="BE243" s="474"/>
      <c r="BF243" s="474"/>
    </row>
    <row r="244" spans="1:58" s="475" customFormat="1" ht="25.2" customHeight="1">
      <c r="A244" s="473"/>
      <c r="B244" s="16" t="s">
        <v>788</v>
      </c>
      <c r="C244" s="16" t="s">
        <v>10</v>
      </c>
      <c r="D244" s="45" t="s">
        <v>518</v>
      </c>
      <c r="E244" s="16" t="s">
        <v>10</v>
      </c>
      <c r="F244" s="21" t="s">
        <v>517</v>
      </c>
      <c r="G244" s="173">
        <v>15</v>
      </c>
      <c r="H244" s="16" t="s">
        <v>13</v>
      </c>
      <c r="I244" s="19">
        <v>16.2</v>
      </c>
      <c r="J244" s="19">
        <f t="shared" si="38"/>
        <v>19.521000000000001</v>
      </c>
      <c r="K244" s="228">
        <f t="shared" si="39"/>
        <v>292.815</v>
      </c>
      <c r="L244" s="242">
        <f>K244/K236</f>
        <v>3.5451422068874965E-2</v>
      </c>
      <c r="M244" s="258"/>
      <c r="N244" s="242"/>
      <c r="O244" s="474"/>
      <c r="P244" s="474"/>
      <c r="Q244" s="474"/>
      <c r="R244" s="474"/>
      <c r="S244" s="474"/>
      <c r="T244" s="474"/>
      <c r="U244" s="474"/>
      <c r="V244" s="474"/>
      <c r="W244" s="474"/>
      <c r="X244" s="474"/>
      <c r="Y244" s="474"/>
      <c r="Z244" s="474"/>
      <c r="AA244" s="474"/>
      <c r="AB244" s="474"/>
      <c r="AC244" s="474"/>
      <c r="AD244" s="474"/>
      <c r="AE244" s="474"/>
      <c r="AF244" s="474"/>
      <c r="AG244" s="474"/>
      <c r="AH244" s="474"/>
      <c r="AI244" s="474"/>
      <c r="AJ244" s="474"/>
      <c r="AK244" s="474"/>
      <c r="AL244" s="474"/>
      <c r="AM244" s="474"/>
      <c r="AN244" s="474"/>
      <c r="AO244" s="474"/>
      <c r="AP244" s="474"/>
      <c r="AQ244" s="474"/>
      <c r="AR244" s="474"/>
      <c r="AS244" s="474"/>
      <c r="AT244" s="474"/>
      <c r="AU244" s="474"/>
      <c r="AV244" s="474"/>
      <c r="AW244" s="474"/>
      <c r="AX244" s="474"/>
      <c r="AY244" s="474"/>
      <c r="AZ244" s="474"/>
      <c r="BA244" s="474"/>
      <c r="BB244" s="474"/>
      <c r="BC244" s="474"/>
      <c r="BD244" s="474"/>
      <c r="BE244" s="474"/>
      <c r="BF244" s="474"/>
    </row>
    <row r="245" spans="1:58" s="475" customFormat="1" ht="25.2" customHeight="1">
      <c r="A245" s="473"/>
      <c r="B245" s="16" t="s">
        <v>789</v>
      </c>
      <c r="C245" s="16" t="s">
        <v>10</v>
      </c>
      <c r="D245" s="193" t="s">
        <v>515</v>
      </c>
      <c r="E245" s="194"/>
      <c r="F245" s="195" t="s">
        <v>514</v>
      </c>
      <c r="G245" s="196">
        <v>2</v>
      </c>
      <c r="H245" s="16" t="s">
        <v>1</v>
      </c>
      <c r="I245" s="197">
        <v>16.100000000000001</v>
      </c>
      <c r="J245" s="197">
        <f t="shared" si="38"/>
        <v>19.400500000000001</v>
      </c>
      <c r="K245" s="227">
        <f t="shared" si="39"/>
        <v>38.801000000000002</v>
      </c>
      <c r="L245" s="242">
        <f>K245/K236</f>
        <v>4.6976781506904274E-3</v>
      </c>
      <c r="M245" s="258"/>
      <c r="N245" s="242"/>
      <c r="O245" s="474"/>
      <c r="P245" s="474"/>
      <c r="Q245" s="474"/>
      <c r="R245" s="474"/>
      <c r="S245" s="474"/>
      <c r="T245" s="474"/>
      <c r="U245" s="474"/>
      <c r="V245" s="474"/>
      <c r="W245" s="474"/>
      <c r="X245" s="474"/>
      <c r="Y245" s="474"/>
      <c r="Z245" s="474"/>
      <c r="AA245" s="474"/>
      <c r="AB245" s="474"/>
      <c r="AC245" s="474"/>
      <c r="AD245" s="474"/>
      <c r="AE245" s="474"/>
      <c r="AF245" s="474"/>
      <c r="AG245" s="474"/>
      <c r="AH245" s="474"/>
      <c r="AI245" s="474"/>
      <c r="AJ245" s="474"/>
      <c r="AK245" s="474"/>
      <c r="AL245" s="474"/>
      <c r="AM245" s="474"/>
      <c r="AN245" s="474"/>
      <c r="AO245" s="474"/>
      <c r="AP245" s="474"/>
      <c r="AQ245" s="474"/>
      <c r="AR245" s="474"/>
      <c r="AS245" s="474"/>
      <c r="AT245" s="474"/>
      <c r="AU245" s="474"/>
      <c r="AV245" s="474"/>
      <c r="AW245" s="474"/>
      <c r="AX245" s="474"/>
      <c r="AY245" s="474"/>
      <c r="AZ245" s="474"/>
      <c r="BA245" s="474"/>
      <c r="BB245" s="474"/>
      <c r="BC245" s="474"/>
      <c r="BD245" s="474"/>
      <c r="BE245" s="474"/>
      <c r="BF245" s="474"/>
    </row>
    <row r="246" spans="1:58" s="475" customFormat="1" ht="25.2" customHeight="1">
      <c r="A246" s="473"/>
      <c r="B246" s="16" t="s">
        <v>790</v>
      </c>
      <c r="C246" s="16" t="s">
        <v>10</v>
      </c>
      <c r="D246" s="193" t="s">
        <v>940</v>
      </c>
      <c r="E246" s="194"/>
      <c r="F246" s="195" t="s">
        <v>516</v>
      </c>
      <c r="G246" s="196">
        <v>4</v>
      </c>
      <c r="H246" s="16" t="s">
        <v>1</v>
      </c>
      <c r="I246" s="197">
        <v>25.31</v>
      </c>
      <c r="J246" s="197">
        <f t="shared" si="38"/>
        <v>30.498549999999998</v>
      </c>
      <c r="K246" s="227">
        <f t="shared" si="39"/>
        <v>121.99419999999999</v>
      </c>
      <c r="L246" s="242">
        <f>K246/K236</f>
        <v>1.4769966955773256E-2</v>
      </c>
      <c r="M246" s="258"/>
      <c r="N246" s="242"/>
      <c r="O246" s="474"/>
      <c r="P246" s="474"/>
      <c r="Q246" s="474"/>
      <c r="R246" s="474"/>
      <c r="S246" s="474"/>
      <c r="T246" s="474"/>
      <c r="U246" s="474"/>
      <c r="V246" s="474"/>
      <c r="W246" s="474"/>
      <c r="X246" s="474"/>
      <c r="Y246" s="474"/>
      <c r="Z246" s="474"/>
      <c r="AA246" s="474"/>
      <c r="AB246" s="474"/>
      <c r="AC246" s="474"/>
      <c r="AD246" s="474"/>
      <c r="AE246" s="474"/>
      <c r="AF246" s="474"/>
      <c r="AG246" s="474"/>
      <c r="AH246" s="474"/>
      <c r="AI246" s="474"/>
      <c r="AJ246" s="474"/>
      <c r="AK246" s="474"/>
      <c r="AL246" s="474"/>
      <c r="AM246" s="474"/>
      <c r="AN246" s="474"/>
      <c r="AO246" s="474"/>
      <c r="AP246" s="474"/>
      <c r="AQ246" s="474"/>
      <c r="AR246" s="474"/>
      <c r="AS246" s="474"/>
      <c r="AT246" s="474"/>
      <c r="AU246" s="474"/>
      <c r="AV246" s="474"/>
      <c r="AW246" s="474"/>
      <c r="AX246" s="474"/>
      <c r="AY246" s="474"/>
      <c r="AZ246" s="474"/>
      <c r="BA246" s="474"/>
      <c r="BB246" s="474"/>
      <c r="BC246" s="474"/>
      <c r="BD246" s="474"/>
      <c r="BE246" s="474"/>
      <c r="BF246" s="474"/>
    </row>
    <row r="247" spans="1:58" s="475" customFormat="1" ht="25.2" customHeight="1">
      <c r="A247" s="473"/>
      <c r="B247" s="16" t="s">
        <v>791</v>
      </c>
      <c r="C247" s="16" t="s">
        <v>10</v>
      </c>
      <c r="D247" s="193" t="s">
        <v>526</v>
      </c>
      <c r="E247" s="194"/>
      <c r="F247" s="195" t="s">
        <v>525</v>
      </c>
      <c r="G247" s="196">
        <v>2</v>
      </c>
      <c r="H247" s="16" t="s">
        <v>1</v>
      </c>
      <c r="I247" s="197">
        <v>166.32</v>
      </c>
      <c r="J247" s="197">
        <f t="shared" si="38"/>
        <v>200.41559999999998</v>
      </c>
      <c r="K247" s="227">
        <f t="shared" si="39"/>
        <v>400.83119999999997</v>
      </c>
      <c r="L247" s="242">
        <f>K247/K236</f>
        <v>4.8529057765393277E-2</v>
      </c>
      <c r="M247" s="258"/>
      <c r="N247" s="242"/>
      <c r="O247" s="474"/>
      <c r="P247" s="474"/>
      <c r="Q247" s="474"/>
      <c r="R247" s="474"/>
      <c r="S247" s="474"/>
      <c r="T247" s="474"/>
      <c r="U247" s="474"/>
      <c r="V247" s="474"/>
      <c r="W247" s="474"/>
      <c r="X247" s="474"/>
      <c r="Y247" s="474"/>
      <c r="Z247" s="474"/>
      <c r="AA247" s="474"/>
      <c r="AB247" s="474"/>
      <c r="AC247" s="474"/>
      <c r="AD247" s="474"/>
      <c r="AE247" s="474"/>
      <c r="AF247" s="474"/>
      <c r="AG247" s="474"/>
      <c r="AH247" s="474"/>
      <c r="AI247" s="474"/>
      <c r="AJ247" s="474"/>
      <c r="AK247" s="474"/>
      <c r="AL247" s="474"/>
      <c r="AM247" s="474"/>
      <c r="AN247" s="474"/>
      <c r="AO247" s="474"/>
      <c r="AP247" s="474"/>
      <c r="AQ247" s="474"/>
      <c r="AR247" s="474"/>
      <c r="AS247" s="474"/>
      <c r="AT247" s="474"/>
      <c r="AU247" s="474"/>
      <c r="AV247" s="474"/>
      <c r="AW247" s="474"/>
      <c r="AX247" s="474"/>
      <c r="AY247" s="474"/>
      <c r="AZ247" s="474"/>
      <c r="BA247" s="474"/>
      <c r="BB247" s="474"/>
      <c r="BC247" s="474"/>
      <c r="BD247" s="474"/>
      <c r="BE247" s="474"/>
      <c r="BF247" s="474"/>
    </row>
    <row r="248" spans="1:58" s="475" customFormat="1" ht="25.2" customHeight="1">
      <c r="A248" s="473"/>
      <c r="B248" s="16" t="s">
        <v>792</v>
      </c>
      <c r="C248" s="16" t="s">
        <v>10</v>
      </c>
      <c r="D248" s="193" t="s">
        <v>528</v>
      </c>
      <c r="E248" s="194"/>
      <c r="F248" s="195" t="s">
        <v>527</v>
      </c>
      <c r="G248" s="196">
        <v>30</v>
      </c>
      <c r="H248" s="16" t="s">
        <v>1</v>
      </c>
      <c r="I248" s="197">
        <v>11.37</v>
      </c>
      <c r="J248" s="197">
        <f t="shared" si="38"/>
        <v>13.700849999999999</v>
      </c>
      <c r="K248" s="227">
        <f t="shared" si="39"/>
        <v>411.02549999999997</v>
      </c>
      <c r="L248" s="242">
        <f>K248/K236</f>
        <v>4.9763292459642998E-2</v>
      </c>
      <c r="M248" s="258"/>
      <c r="N248" s="242"/>
      <c r="O248" s="474"/>
      <c r="P248" s="474"/>
      <c r="Q248" s="474"/>
      <c r="R248" s="474"/>
      <c r="S248" s="474"/>
      <c r="T248" s="474"/>
      <c r="U248" s="474"/>
      <c r="V248" s="474"/>
      <c r="W248" s="474"/>
      <c r="X248" s="474"/>
      <c r="Y248" s="474"/>
      <c r="Z248" s="474"/>
      <c r="AA248" s="474"/>
      <c r="AB248" s="474"/>
      <c r="AC248" s="474"/>
      <c r="AD248" s="474"/>
      <c r="AE248" s="474"/>
      <c r="AF248" s="474"/>
      <c r="AG248" s="474"/>
      <c r="AH248" s="474"/>
      <c r="AI248" s="474"/>
      <c r="AJ248" s="474"/>
      <c r="AK248" s="474"/>
      <c r="AL248" s="474"/>
      <c r="AM248" s="474"/>
      <c r="AN248" s="474"/>
      <c r="AO248" s="474"/>
      <c r="AP248" s="474"/>
      <c r="AQ248" s="474"/>
      <c r="AR248" s="474"/>
      <c r="AS248" s="474"/>
      <c r="AT248" s="474"/>
      <c r="AU248" s="474"/>
      <c r="AV248" s="474"/>
      <c r="AW248" s="474"/>
      <c r="AX248" s="474"/>
      <c r="AY248" s="474"/>
      <c r="AZ248" s="474"/>
      <c r="BA248" s="474"/>
      <c r="BB248" s="474"/>
      <c r="BC248" s="474"/>
      <c r="BD248" s="474"/>
      <c r="BE248" s="474"/>
      <c r="BF248" s="474"/>
    </row>
    <row r="249" spans="1:58" s="475" customFormat="1" ht="25.2" customHeight="1">
      <c r="A249" s="473"/>
      <c r="B249" s="16" t="s">
        <v>793</v>
      </c>
      <c r="C249" s="16" t="s">
        <v>10</v>
      </c>
      <c r="D249" s="193" t="s">
        <v>530</v>
      </c>
      <c r="E249" s="194"/>
      <c r="F249" s="195" t="s">
        <v>529</v>
      </c>
      <c r="G249" s="196">
        <v>20</v>
      </c>
      <c r="H249" s="16" t="s">
        <v>1</v>
      </c>
      <c r="I249" s="197">
        <v>26.85</v>
      </c>
      <c r="J249" s="197">
        <f t="shared" si="38"/>
        <v>32.35425</v>
      </c>
      <c r="K249" s="227">
        <f t="shared" si="39"/>
        <v>647.08500000000004</v>
      </c>
      <c r="L249" s="242">
        <f>K249/K236</f>
        <v>7.8343266053439733E-2</v>
      </c>
      <c r="M249" s="258"/>
      <c r="N249" s="242"/>
      <c r="O249" s="474"/>
      <c r="P249" s="474"/>
      <c r="Q249" s="474"/>
      <c r="R249" s="474"/>
      <c r="S249" s="474"/>
      <c r="T249" s="474"/>
      <c r="U249" s="474"/>
      <c r="V249" s="474"/>
      <c r="W249" s="474"/>
      <c r="X249" s="474"/>
      <c r="Y249" s="474"/>
      <c r="Z249" s="474"/>
      <c r="AA249" s="474"/>
      <c r="AB249" s="474"/>
      <c r="AC249" s="474"/>
      <c r="AD249" s="474"/>
      <c r="AE249" s="474"/>
      <c r="AF249" s="474"/>
      <c r="AG249" s="474"/>
      <c r="AH249" s="474"/>
      <c r="AI249" s="474"/>
      <c r="AJ249" s="474"/>
      <c r="AK249" s="474"/>
      <c r="AL249" s="474"/>
      <c r="AM249" s="474"/>
      <c r="AN249" s="474"/>
      <c r="AO249" s="474"/>
      <c r="AP249" s="474"/>
      <c r="AQ249" s="474"/>
      <c r="AR249" s="474"/>
      <c r="AS249" s="474"/>
      <c r="AT249" s="474"/>
      <c r="AU249" s="474"/>
      <c r="AV249" s="474"/>
      <c r="AW249" s="474"/>
      <c r="AX249" s="474"/>
      <c r="AY249" s="474"/>
      <c r="AZ249" s="474"/>
      <c r="BA249" s="474"/>
      <c r="BB249" s="474"/>
      <c r="BC249" s="474"/>
      <c r="BD249" s="474"/>
      <c r="BE249" s="474"/>
      <c r="BF249" s="474"/>
    </row>
    <row r="250" spans="1:58" s="475" customFormat="1" ht="25.2" customHeight="1">
      <c r="A250" s="473"/>
      <c r="B250" s="16" t="s">
        <v>794</v>
      </c>
      <c r="C250" s="16" t="s">
        <v>10</v>
      </c>
      <c r="D250" s="193" t="s">
        <v>532</v>
      </c>
      <c r="E250" s="194"/>
      <c r="F250" s="195" t="s">
        <v>531</v>
      </c>
      <c r="G250" s="196">
        <v>12</v>
      </c>
      <c r="H250" s="16" t="s">
        <v>1</v>
      </c>
      <c r="I250" s="197">
        <v>13.91</v>
      </c>
      <c r="J250" s="197">
        <f t="shared" si="38"/>
        <v>16.76155</v>
      </c>
      <c r="K250" s="227">
        <f t="shared" si="39"/>
        <v>201.1386</v>
      </c>
      <c r="L250" s="242">
        <f>K250/K236</f>
        <v>2.4352063258175346E-2</v>
      </c>
      <c r="M250" s="258"/>
      <c r="N250" s="242"/>
      <c r="O250" s="474"/>
      <c r="P250" s="474"/>
      <c r="Q250" s="474"/>
      <c r="R250" s="474"/>
      <c r="S250" s="474"/>
      <c r="T250" s="474"/>
      <c r="U250" s="474"/>
      <c r="V250" s="474"/>
      <c r="W250" s="474"/>
      <c r="X250" s="474"/>
      <c r="Y250" s="474"/>
      <c r="Z250" s="474"/>
      <c r="AA250" s="474"/>
      <c r="AB250" s="474"/>
      <c r="AC250" s="474"/>
      <c r="AD250" s="474"/>
      <c r="AE250" s="474"/>
      <c r="AF250" s="474"/>
      <c r="AG250" s="474"/>
      <c r="AH250" s="474"/>
      <c r="AI250" s="474"/>
      <c r="AJ250" s="474"/>
      <c r="AK250" s="474"/>
      <c r="AL250" s="474"/>
      <c r="AM250" s="474"/>
      <c r="AN250" s="474"/>
      <c r="AO250" s="474"/>
      <c r="AP250" s="474"/>
      <c r="AQ250" s="474"/>
      <c r="AR250" s="474"/>
      <c r="AS250" s="474"/>
      <c r="AT250" s="474"/>
      <c r="AU250" s="474"/>
      <c r="AV250" s="474"/>
      <c r="AW250" s="474"/>
      <c r="AX250" s="474"/>
      <c r="AY250" s="474"/>
      <c r="AZ250" s="474"/>
      <c r="BA250" s="474"/>
      <c r="BB250" s="474"/>
      <c r="BC250" s="474"/>
      <c r="BD250" s="474"/>
      <c r="BE250" s="474"/>
      <c r="BF250" s="474"/>
    </row>
    <row r="251" spans="1:58" s="475" customFormat="1" ht="25.2" customHeight="1">
      <c r="A251" s="473"/>
      <c r="B251" s="16" t="s">
        <v>795</v>
      </c>
      <c r="C251" s="16" t="s">
        <v>10</v>
      </c>
      <c r="D251" s="193" t="s">
        <v>941</v>
      </c>
      <c r="E251" s="194"/>
      <c r="F251" s="195" t="s">
        <v>533</v>
      </c>
      <c r="G251" s="196">
        <v>50</v>
      </c>
      <c r="H251" s="16" t="s">
        <v>1</v>
      </c>
      <c r="I251" s="197">
        <v>9.06</v>
      </c>
      <c r="J251" s="197">
        <f t="shared" si="38"/>
        <v>10.917300000000001</v>
      </c>
      <c r="K251" s="227">
        <f t="shared" si="39"/>
        <v>545.86500000000001</v>
      </c>
      <c r="L251" s="242">
        <f>K251/K236</f>
        <v>6.6088453486421228E-2</v>
      </c>
      <c r="M251" s="258"/>
      <c r="N251" s="242"/>
      <c r="O251" s="474"/>
      <c r="P251" s="474"/>
      <c r="Q251" s="474"/>
      <c r="R251" s="474"/>
      <c r="S251" s="474"/>
      <c r="T251" s="474"/>
      <c r="U251" s="474"/>
      <c r="V251" s="474"/>
      <c r="W251" s="474"/>
      <c r="X251" s="474"/>
      <c r="Y251" s="474"/>
      <c r="Z251" s="474"/>
      <c r="AA251" s="474"/>
      <c r="AB251" s="474"/>
      <c r="AC251" s="474"/>
      <c r="AD251" s="474"/>
      <c r="AE251" s="474"/>
      <c r="AF251" s="474"/>
      <c r="AG251" s="474"/>
      <c r="AH251" s="474"/>
      <c r="AI251" s="474"/>
      <c r="AJ251" s="474"/>
      <c r="AK251" s="474"/>
      <c r="AL251" s="474"/>
      <c r="AM251" s="474"/>
      <c r="AN251" s="474"/>
      <c r="AO251" s="474"/>
      <c r="AP251" s="474"/>
      <c r="AQ251" s="474"/>
      <c r="AR251" s="474"/>
      <c r="AS251" s="474"/>
      <c r="AT251" s="474"/>
      <c r="AU251" s="474"/>
      <c r="AV251" s="474"/>
      <c r="AW251" s="474"/>
      <c r="AX251" s="474"/>
      <c r="AY251" s="474"/>
      <c r="AZ251" s="474"/>
      <c r="BA251" s="474"/>
      <c r="BB251" s="474"/>
      <c r="BC251" s="474"/>
      <c r="BD251" s="474"/>
      <c r="BE251" s="474"/>
      <c r="BF251" s="474"/>
    </row>
    <row r="252" spans="1:58" ht="25.2" customHeight="1">
      <c r="B252" s="278"/>
      <c r="C252" s="16"/>
      <c r="D252" s="193"/>
      <c r="E252" s="194"/>
      <c r="F252" s="195"/>
      <c r="G252" s="196"/>
      <c r="H252" s="16"/>
      <c r="I252" s="197"/>
      <c r="J252" s="197"/>
      <c r="K252" s="227"/>
      <c r="L252" s="242"/>
      <c r="M252" s="258"/>
      <c r="N252" s="242"/>
    </row>
    <row r="253" spans="1:58" ht="25.2" customHeight="1">
      <c r="B253" s="26" t="s">
        <v>470</v>
      </c>
      <c r="C253" s="533" t="s">
        <v>40</v>
      </c>
      <c r="D253" s="533"/>
      <c r="E253" s="533"/>
      <c r="F253" s="533"/>
      <c r="G253" s="533"/>
      <c r="H253" s="533"/>
      <c r="I253" s="533"/>
      <c r="J253" s="533"/>
      <c r="K253" s="234">
        <f>SUM(K254:K261)</f>
        <v>2639.5886500000001</v>
      </c>
      <c r="L253" s="240">
        <f>SUM(L254:L261)</f>
        <v>1</v>
      </c>
      <c r="M253" s="256">
        <f>K253/K296</f>
        <v>2.0451437953072974E-2</v>
      </c>
      <c r="N253" s="240">
        <f>K253/K398</f>
        <v>4.061402780599209E-3</v>
      </c>
    </row>
    <row r="254" spans="1:58" s="475" customFormat="1" ht="25.2" customHeight="1">
      <c r="A254" s="473"/>
      <c r="B254" s="16" t="s">
        <v>796</v>
      </c>
      <c r="C254" s="16" t="s">
        <v>10</v>
      </c>
      <c r="D254" s="45">
        <v>91996</v>
      </c>
      <c r="E254" s="16"/>
      <c r="F254" s="21" t="s">
        <v>139</v>
      </c>
      <c r="G254" s="173">
        <v>40</v>
      </c>
      <c r="H254" s="16" t="s">
        <v>1</v>
      </c>
      <c r="I254" s="19">
        <v>29.53</v>
      </c>
      <c r="J254" s="19">
        <f t="shared" ref="J254:J261" si="40">I254*$I$3+I254</f>
        <v>35.583649999999999</v>
      </c>
      <c r="K254" s="228">
        <f t="shared" ref="K254:K261" si="41">G254*J254</f>
        <v>1423.346</v>
      </c>
      <c r="L254" s="242">
        <f>K254/K253</f>
        <v>0.53923023195299769</v>
      </c>
      <c r="M254" s="258"/>
      <c r="N254" s="242"/>
      <c r="O254" s="474"/>
      <c r="P254" s="474"/>
      <c r="Q254" s="474"/>
      <c r="R254" s="474"/>
      <c r="S254" s="474"/>
      <c r="T254" s="474"/>
      <c r="U254" s="474"/>
      <c r="V254" s="474"/>
      <c r="W254" s="474"/>
      <c r="X254" s="474"/>
      <c r="Y254" s="474"/>
      <c r="Z254" s="474"/>
      <c r="AA254" s="474"/>
      <c r="AB254" s="474"/>
      <c r="AC254" s="474"/>
      <c r="AD254" s="474"/>
      <c r="AE254" s="474"/>
      <c r="AF254" s="474"/>
      <c r="AG254" s="474"/>
      <c r="AH254" s="474"/>
      <c r="AI254" s="474"/>
      <c r="AJ254" s="474"/>
      <c r="AK254" s="474"/>
      <c r="AL254" s="474"/>
      <c r="AM254" s="474"/>
      <c r="AN254" s="474"/>
      <c r="AO254" s="474"/>
      <c r="AP254" s="474"/>
      <c r="AQ254" s="474"/>
      <c r="AR254" s="474"/>
      <c r="AS254" s="474"/>
      <c r="AT254" s="474"/>
      <c r="AU254" s="474"/>
      <c r="AV254" s="474"/>
      <c r="AW254" s="474"/>
      <c r="AX254" s="474"/>
      <c r="AY254" s="474"/>
      <c r="AZ254" s="474"/>
      <c r="BA254" s="474"/>
      <c r="BB254" s="474"/>
      <c r="BC254" s="474"/>
      <c r="BD254" s="474"/>
      <c r="BE254" s="474"/>
      <c r="BF254" s="474"/>
    </row>
    <row r="255" spans="1:58" s="475" customFormat="1" ht="25.2" customHeight="1">
      <c r="A255" s="473"/>
      <c r="B255" s="16" t="s">
        <v>797</v>
      </c>
      <c r="C255" s="16" t="s">
        <v>10</v>
      </c>
      <c r="D255" s="45">
        <v>91997</v>
      </c>
      <c r="E255" s="16"/>
      <c r="F255" s="21" t="s">
        <v>140</v>
      </c>
      <c r="G255" s="173">
        <v>10</v>
      </c>
      <c r="H255" s="16" t="s">
        <v>1</v>
      </c>
      <c r="I255" s="19">
        <v>31.58</v>
      </c>
      <c r="J255" s="19">
        <f t="shared" si="40"/>
        <v>38.053899999999999</v>
      </c>
      <c r="K255" s="228">
        <f t="shared" si="41"/>
        <v>380.53899999999999</v>
      </c>
      <c r="L255" s="242">
        <f>K255/K253</f>
        <v>0.14416602374767748</v>
      </c>
      <c r="M255" s="258"/>
      <c r="N255" s="242"/>
      <c r="O255" s="474"/>
      <c r="P255" s="474"/>
      <c r="Q255" s="474"/>
      <c r="R255" s="474"/>
      <c r="S255" s="474"/>
      <c r="T255" s="474"/>
      <c r="U255" s="474"/>
      <c r="V255" s="474"/>
      <c r="W255" s="474"/>
      <c r="X255" s="474"/>
      <c r="Y255" s="474"/>
      <c r="Z255" s="474"/>
      <c r="AA255" s="474"/>
      <c r="AB255" s="474"/>
      <c r="AC255" s="474"/>
      <c r="AD255" s="474"/>
      <c r="AE255" s="474"/>
      <c r="AF255" s="474"/>
      <c r="AG255" s="474"/>
      <c r="AH255" s="474"/>
      <c r="AI255" s="474"/>
      <c r="AJ255" s="474"/>
      <c r="AK255" s="474"/>
      <c r="AL255" s="474"/>
      <c r="AM255" s="474"/>
      <c r="AN255" s="474"/>
      <c r="AO255" s="474"/>
      <c r="AP255" s="474"/>
      <c r="AQ255" s="474"/>
      <c r="AR255" s="474"/>
      <c r="AS255" s="474"/>
      <c r="AT255" s="474"/>
      <c r="AU255" s="474"/>
      <c r="AV255" s="474"/>
      <c r="AW255" s="474"/>
      <c r="AX255" s="474"/>
      <c r="AY255" s="474"/>
      <c r="AZ255" s="474"/>
      <c r="BA255" s="474"/>
      <c r="BB255" s="474"/>
      <c r="BC255" s="474"/>
      <c r="BD255" s="474"/>
      <c r="BE255" s="474"/>
      <c r="BF255" s="474"/>
    </row>
    <row r="256" spans="1:58" s="475" customFormat="1" ht="25.2" customHeight="1">
      <c r="A256" s="473"/>
      <c r="B256" s="16" t="s">
        <v>798</v>
      </c>
      <c r="C256" s="16" t="s">
        <v>10</v>
      </c>
      <c r="D256" s="45">
        <v>91953</v>
      </c>
      <c r="E256" s="16" t="s">
        <v>10</v>
      </c>
      <c r="F256" s="21" t="s">
        <v>138</v>
      </c>
      <c r="G256" s="173">
        <v>12</v>
      </c>
      <c r="H256" s="16" t="s">
        <v>1</v>
      </c>
      <c r="I256" s="19">
        <v>24.69</v>
      </c>
      <c r="J256" s="19">
        <f t="shared" si="40"/>
        <v>29.751450000000002</v>
      </c>
      <c r="K256" s="228">
        <f t="shared" si="41"/>
        <v>357.01740000000001</v>
      </c>
      <c r="L256" s="242">
        <f>K256/K253</f>
        <v>0.13525493830260257</v>
      </c>
      <c r="M256" s="258"/>
      <c r="N256" s="242"/>
      <c r="O256" s="474"/>
      <c r="P256" s="474"/>
      <c r="Q256" s="474"/>
      <c r="R256" s="474"/>
      <c r="S256" s="474"/>
      <c r="T256" s="474"/>
      <c r="U256" s="474"/>
      <c r="V256" s="474"/>
      <c r="W256" s="474"/>
      <c r="X256" s="474"/>
      <c r="Y256" s="474"/>
      <c r="Z256" s="474"/>
      <c r="AA256" s="474"/>
      <c r="AB256" s="474"/>
      <c r="AC256" s="474"/>
      <c r="AD256" s="474"/>
      <c r="AE256" s="474"/>
      <c r="AF256" s="474"/>
      <c r="AG256" s="474"/>
      <c r="AH256" s="474"/>
      <c r="AI256" s="474"/>
      <c r="AJ256" s="474"/>
      <c r="AK256" s="474"/>
      <c r="AL256" s="474"/>
      <c r="AM256" s="474"/>
      <c r="AN256" s="474"/>
      <c r="AO256" s="474"/>
      <c r="AP256" s="474"/>
      <c r="AQ256" s="474"/>
      <c r="AR256" s="474"/>
      <c r="AS256" s="474"/>
      <c r="AT256" s="474"/>
      <c r="AU256" s="474"/>
      <c r="AV256" s="474"/>
      <c r="AW256" s="474"/>
      <c r="AX256" s="474"/>
      <c r="AY256" s="474"/>
      <c r="AZ256" s="474"/>
      <c r="BA256" s="474"/>
      <c r="BB256" s="474"/>
      <c r="BC256" s="474"/>
      <c r="BD256" s="474"/>
      <c r="BE256" s="474"/>
      <c r="BF256" s="474"/>
    </row>
    <row r="257" spans="1:58" s="475" customFormat="1" ht="25.2" customHeight="1">
      <c r="A257" s="473"/>
      <c r="B257" s="16" t="s">
        <v>799</v>
      </c>
      <c r="C257" s="16" t="s">
        <v>10</v>
      </c>
      <c r="D257" s="45" t="s">
        <v>942</v>
      </c>
      <c r="E257" s="16" t="s">
        <v>10</v>
      </c>
      <c r="F257" s="21" t="s">
        <v>943</v>
      </c>
      <c r="G257" s="173">
        <v>1</v>
      </c>
      <c r="H257" s="16" t="s">
        <v>1</v>
      </c>
      <c r="I257" s="19">
        <v>30.59</v>
      </c>
      <c r="J257" s="19">
        <f t="shared" ref="J257" si="42">I257*$I$3+I257</f>
        <v>36.860950000000003</v>
      </c>
      <c r="K257" s="228">
        <f t="shared" ref="K257" si="43">G257*J257</f>
        <v>36.860950000000003</v>
      </c>
      <c r="L257" s="242">
        <f>K257/K253</f>
        <v>1.3964656955166101E-2</v>
      </c>
      <c r="M257" s="258"/>
      <c r="N257" s="242"/>
      <c r="O257" s="474"/>
      <c r="P257" s="474"/>
      <c r="Q257" s="474"/>
      <c r="R257" s="474"/>
      <c r="S257" s="474"/>
      <c r="T257" s="474"/>
      <c r="U257" s="474"/>
      <c r="V257" s="474"/>
      <c r="W257" s="474"/>
      <c r="X257" s="474"/>
      <c r="Y257" s="474"/>
      <c r="Z257" s="474"/>
      <c r="AA257" s="474"/>
      <c r="AB257" s="474"/>
      <c r="AC257" s="474"/>
      <c r="AD257" s="474"/>
      <c r="AE257" s="474"/>
      <c r="AF257" s="474"/>
      <c r="AG257" s="474"/>
      <c r="AH257" s="474"/>
      <c r="AI257" s="474"/>
      <c r="AJ257" s="474"/>
      <c r="AK257" s="474"/>
      <c r="AL257" s="474"/>
      <c r="AM257" s="474"/>
      <c r="AN257" s="474"/>
      <c r="AO257" s="474"/>
      <c r="AP257" s="474"/>
      <c r="AQ257" s="474"/>
      <c r="AR257" s="474"/>
      <c r="AS257" s="474"/>
      <c r="AT257" s="474"/>
      <c r="AU257" s="474"/>
      <c r="AV257" s="474"/>
      <c r="AW257" s="474"/>
      <c r="AX257" s="474"/>
      <c r="AY257" s="474"/>
      <c r="AZ257" s="474"/>
      <c r="BA257" s="474"/>
      <c r="BB257" s="474"/>
      <c r="BC257" s="474"/>
      <c r="BD257" s="474"/>
      <c r="BE257" s="474"/>
      <c r="BF257" s="474"/>
    </row>
    <row r="258" spans="1:58" s="475" customFormat="1" ht="25.2" customHeight="1">
      <c r="A258" s="473"/>
      <c r="B258" s="16" t="s">
        <v>800</v>
      </c>
      <c r="C258" s="16" t="s">
        <v>10</v>
      </c>
      <c r="D258" s="45">
        <v>91959</v>
      </c>
      <c r="E258" s="16"/>
      <c r="F258" s="21" t="s">
        <v>137</v>
      </c>
      <c r="G258" s="173">
        <v>4</v>
      </c>
      <c r="H258" s="16" t="s">
        <v>1</v>
      </c>
      <c r="I258" s="19">
        <v>38.97</v>
      </c>
      <c r="J258" s="19">
        <f t="shared" si="40"/>
        <v>46.958849999999998</v>
      </c>
      <c r="K258" s="228">
        <f t="shared" si="41"/>
        <v>187.83539999999999</v>
      </c>
      <c r="L258" s="242">
        <f>K258/K253</f>
        <v>7.1160860613641436E-2</v>
      </c>
      <c r="M258" s="258"/>
      <c r="N258" s="242"/>
      <c r="O258" s="474"/>
      <c r="P258" s="474"/>
      <c r="Q258" s="474"/>
      <c r="R258" s="474"/>
      <c r="S258" s="474"/>
      <c r="T258" s="474"/>
      <c r="U258" s="474"/>
      <c r="V258" s="474"/>
      <c r="W258" s="474"/>
      <c r="X258" s="474"/>
      <c r="Y258" s="474"/>
      <c r="Z258" s="474"/>
      <c r="AA258" s="474"/>
      <c r="AB258" s="474"/>
      <c r="AC258" s="474"/>
      <c r="AD258" s="474"/>
      <c r="AE258" s="474"/>
      <c r="AF258" s="474"/>
      <c r="AG258" s="474"/>
      <c r="AH258" s="474"/>
      <c r="AI258" s="474"/>
      <c r="AJ258" s="474"/>
      <c r="AK258" s="474"/>
      <c r="AL258" s="474"/>
      <c r="AM258" s="474"/>
      <c r="AN258" s="474"/>
      <c r="AO258" s="474"/>
      <c r="AP258" s="474"/>
      <c r="AQ258" s="474"/>
      <c r="AR258" s="474"/>
      <c r="AS258" s="474"/>
      <c r="AT258" s="474"/>
      <c r="AU258" s="474"/>
      <c r="AV258" s="474"/>
      <c r="AW258" s="474"/>
      <c r="AX258" s="474"/>
      <c r="AY258" s="474"/>
      <c r="AZ258" s="474"/>
      <c r="BA258" s="474"/>
      <c r="BB258" s="474"/>
      <c r="BC258" s="474"/>
      <c r="BD258" s="474"/>
      <c r="BE258" s="474"/>
      <c r="BF258" s="474"/>
    </row>
    <row r="259" spans="1:58" s="475" customFormat="1" ht="25.2" customHeight="1">
      <c r="A259" s="473"/>
      <c r="B259" s="16" t="s">
        <v>801</v>
      </c>
      <c r="C259" s="16" t="s">
        <v>10</v>
      </c>
      <c r="D259" s="45">
        <v>91957</v>
      </c>
      <c r="E259" s="16" t="s">
        <v>10</v>
      </c>
      <c r="F259" s="21" t="s">
        <v>136</v>
      </c>
      <c r="G259" s="173">
        <v>1</v>
      </c>
      <c r="H259" s="16" t="s">
        <v>1</v>
      </c>
      <c r="I259" s="19">
        <v>44.82</v>
      </c>
      <c r="J259" s="19">
        <f t="shared" si="40"/>
        <v>54.008099999999999</v>
      </c>
      <c r="K259" s="228">
        <f t="shared" si="41"/>
        <v>54.008099999999999</v>
      </c>
      <c r="L259" s="242">
        <f>K259/K253</f>
        <v>2.0460801723783742E-2</v>
      </c>
      <c r="M259" s="258"/>
      <c r="N259" s="242"/>
      <c r="O259" s="474"/>
      <c r="P259" s="474"/>
      <c r="Q259" s="474"/>
      <c r="R259" s="474"/>
      <c r="S259" s="474"/>
      <c r="T259" s="474"/>
      <c r="U259" s="474"/>
      <c r="V259" s="474"/>
      <c r="W259" s="474"/>
      <c r="X259" s="474"/>
      <c r="Y259" s="474"/>
      <c r="Z259" s="474"/>
      <c r="AA259" s="474"/>
      <c r="AB259" s="474"/>
      <c r="AC259" s="474"/>
      <c r="AD259" s="474"/>
      <c r="AE259" s="474"/>
      <c r="AF259" s="474"/>
      <c r="AG259" s="474"/>
      <c r="AH259" s="474"/>
      <c r="AI259" s="474"/>
      <c r="AJ259" s="474"/>
      <c r="AK259" s="474"/>
      <c r="AL259" s="474"/>
      <c r="AM259" s="474"/>
      <c r="AN259" s="474"/>
      <c r="AO259" s="474"/>
      <c r="AP259" s="474"/>
      <c r="AQ259" s="474"/>
      <c r="AR259" s="474"/>
      <c r="AS259" s="474"/>
      <c r="AT259" s="474"/>
      <c r="AU259" s="474"/>
      <c r="AV259" s="474"/>
      <c r="AW259" s="474"/>
      <c r="AX259" s="474"/>
      <c r="AY259" s="474"/>
      <c r="AZ259" s="474"/>
      <c r="BA259" s="474"/>
      <c r="BB259" s="474"/>
      <c r="BC259" s="474"/>
      <c r="BD259" s="474"/>
      <c r="BE259" s="474"/>
      <c r="BF259" s="474"/>
    </row>
    <row r="260" spans="1:58" s="475" customFormat="1" ht="25.2" customHeight="1">
      <c r="A260" s="473"/>
      <c r="B260" s="16" t="s">
        <v>802</v>
      </c>
      <c r="C260" s="16" t="s">
        <v>10</v>
      </c>
      <c r="D260" s="45" t="s">
        <v>944</v>
      </c>
      <c r="E260" s="16" t="s">
        <v>10</v>
      </c>
      <c r="F260" s="21" t="s">
        <v>945</v>
      </c>
      <c r="G260" s="173">
        <v>2</v>
      </c>
      <c r="H260" s="16" t="s">
        <v>1</v>
      </c>
      <c r="I260" s="19">
        <v>50.72</v>
      </c>
      <c r="J260" s="19">
        <f t="shared" ref="J260" si="44">I260*$I$3+I260</f>
        <v>61.117599999999996</v>
      </c>
      <c r="K260" s="228">
        <f t="shared" ref="K260" si="45">G260*J260</f>
        <v>122.23519999999999</v>
      </c>
      <c r="L260" s="242">
        <f>K260/K253</f>
        <v>4.6308427640799253E-2</v>
      </c>
      <c r="M260" s="258"/>
      <c r="N260" s="242"/>
      <c r="O260" s="474"/>
      <c r="P260" s="474"/>
      <c r="Q260" s="474"/>
      <c r="R260" s="474"/>
      <c r="S260" s="474"/>
      <c r="T260" s="474"/>
      <c r="U260" s="474"/>
      <c r="V260" s="474"/>
      <c r="W260" s="474"/>
      <c r="X260" s="474"/>
      <c r="Y260" s="474"/>
      <c r="Z260" s="474"/>
      <c r="AA260" s="474"/>
      <c r="AB260" s="474"/>
      <c r="AC260" s="474"/>
      <c r="AD260" s="474"/>
      <c r="AE260" s="474"/>
      <c r="AF260" s="474"/>
      <c r="AG260" s="474"/>
      <c r="AH260" s="474"/>
      <c r="AI260" s="474"/>
      <c r="AJ260" s="474"/>
      <c r="AK260" s="474"/>
      <c r="AL260" s="474"/>
      <c r="AM260" s="474"/>
      <c r="AN260" s="474"/>
      <c r="AO260" s="474"/>
      <c r="AP260" s="474"/>
      <c r="AQ260" s="474"/>
      <c r="AR260" s="474"/>
      <c r="AS260" s="474"/>
      <c r="AT260" s="474"/>
      <c r="AU260" s="474"/>
      <c r="AV260" s="474"/>
      <c r="AW260" s="474"/>
      <c r="AX260" s="474"/>
      <c r="AY260" s="474"/>
      <c r="AZ260" s="474"/>
      <c r="BA260" s="474"/>
      <c r="BB260" s="474"/>
      <c r="BC260" s="474"/>
      <c r="BD260" s="474"/>
      <c r="BE260" s="474"/>
      <c r="BF260" s="474"/>
    </row>
    <row r="261" spans="1:58" s="475" customFormat="1" ht="25.2" customHeight="1">
      <c r="A261" s="473"/>
      <c r="B261" s="16" t="s">
        <v>803</v>
      </c>
      <c r="C261" s="16" t="s">
        <v>10</v>
      </c>
      <c r="D261" s="45" t="s">
        <v>623</v>
      </c>
      <c r="E261" s="16"/>
      <c r="F261" s="21" t="s">
        <v>622</v>
      </c>
      <c r="G261" s="173">
        <v>2</v>
      </c>
      <c r="H261" s="16" t="s">
        <v>1</v>
      </c>
      <c r="I261" s="19">
        <v>32.26</v>
      </c>
      <c r="J261" s="19">
        <f t="shared" si="40"/>
        <v>38.8733</v>
      </c>
      <c r="K261" s="228">
        <f t="shared" si="41"/>
        <v>77.746600000000001</v>
      </c>
      <c r="L261" s="242">
        <f>K261/K253</f>
        <v>2.9454059063331702E-2</v>
      </c>
      <c r="M261" s="258"/>
      <c r="N261" s="242"/>
      <c r="O261" s="474"/>
      <c r="P261" s="474"/>
      <c r="Q261" s="474"/>
      <c r="R261" s="474"/>
      <c r="S261" s="474"/>
      <c r="T261" s="474"/>
      <c r="U261" s="474"/>
      <c r="V261" s="474"/>
      <c r="W261" s="474"/>
      <c r="X261" s="474"/>
      <c r="Y261" s="474"/>
      <c r="Z261" s="474"/>
      <c r="AA261" s="474"/>
      <c r="AB261" s="474"/>
      <c r="AC261" s="474"/>
      <c r="AD261" s="474"/>
      <c r="AE261" s="474"/>
      <c r="AF261" s="474"/>
      <c r="AG261" s="474"/>
      <c r="AH261" s="474"/>
      <c r="AI261" s="474"/>
      <c r="AJ261" s="474"/>
      <c r="AK261" s="474"/>
      <c r="AL261" s="474"/>
      <c r="AM261" s="474"/>
      <c r="AN261" s="474"/>
      <c r="AO261" s="474"/>
      <c r="AP261" s="474"/>
      <c r="AQ261" s="474"/>
      <c r="AR261" s="474"/>
      <c r="AS261" s="474"/>
      <c r="AT261" s="474"/>
      <c r="AU261" s="474"/>
      <c r="AV261" s="474"/>
      <c r="AW261" s="474"/>
      <c r="AX261" s="474"/>
      <c r="AY261" s="474"/>
      <c r="AZ261" s="474"/>
      <c r="BA261" s="474"/>
      <c r="BB261" s="474"/>
      <c r="BC261" s="474"/>
      <c r="BD261" s="474"/>
      <c r="BE261" s="474"/>
      <c r="BF261" s="474"/>
    </row>
    <row r="262" spans="1:58" ht="25.2" customHeight="1">
      <c r="B262" s="2"/>
      <c r="C262" s="28"/>
      <c r="D262" s="168"/>
      <c r="E262" s="28"/>
      <c r="F262" s="190"/>
      <c r="G262" s="209"/>
      <c r="H262" s="2"/>
      <c r="I262" s="29"/>
      <c r="J262" s="212"/>
      <c r="K262" s="231"/>
    </row>
    <row r="263" spans="1:58" ht="25.2" customHeight="1">
      <c r="B263" s="26" t="s">
        <v>471</v>
      </c>
      <c r="C263" s="537" t="s">
        <v>69</v>
      </c>
      <c r="D263" s="538"/>
      <c r="E263" s="538"/>
      <c r="F263" s="538"/>
      <c r="G263" s="538"/>
      <c r="H263" s="538"/>
      <c r="I263" s="538"/>
      <c r="J263" s="539"/>
      <c r="K263" s="234">
        <f>SUM(K264:K273)</f>
        <v>7083.9781000000003</v>
      </c>
      <c r="L263" s="240">
        <f>SUM(L264:L273)</f>
        <v>1</v>
      </c>
      <c r="M263" s="256">
        <f>K263/K296</f>
        <v>5.4886407612442858E-2</v>
      </c>
      <c r="N263" s="240">
        <f>K263/K398</f>
        <v>1.0899762109919628E-2</v>
      </c>
    </row>
    <row r="264" spans="1:58" s="475" customFormat="1" ht="25.2" customHeight="1">
      <c r="A264" s="473"/>
      <c r="B264" s="16" t="s">
        <v>804</v>
      </c>
      <c r="C264" s="16" t="s">
        <v>10</v>
      </c>
      <c r="D264" s="45" t="s">
        <v>947</v>
      </c>
      <c r="E264" s="16" t="s">
        <v>10</v>
      </c>
      <c r="F264" s="21" t="s">
        <v>946</v>
      </c>
      <c r="G264" s="173">
        <v>16</v>
      </c>
      <c r="H264" s="16" t="s">
        <v>1</v>
      </c>
      <c r="I264" s="19">
        <v>136.93</v>
      </c>
      <c r="J264" s="19">
        <f t="shared" ref="J264:J273" si="46">I264*$I$3+I264</f>
        <v>165.00065000000001</v>
      </c>
      <c r="K264" s="228">
        <f t="shared" ref="K264:K273" si="47">G264*J264</f>
        <v>2640.0104000000001</v>
      </c>
      <c r="L264" s="242">
        <f>K264/K263</f>
        <v>0.37267342766065298</v>
      </c>
      <c r="M264" s="258"/>
      <c r="N264" s="242"/>
      <c r="O264" s="474"/>
      <c r="P264" s="474"/>
      <c r="Q264" s="474"/>
      <c r="R264" s="474"/>
      <c r="S264" s="474"/>
      <c r="T264" s="474"/>
      <c r="U264" s="474"/>
      <c r="V264" s="474"/>
      <c r="W264" s="474"/>
      <c r="X264" s="474"/>
      <c r="Y264" s="474"/>
      <c r="Z264" s="474"/>
      <c r="AA264" s="474"/>
      <c r="AB264" s="474"/>
      <c r="AC264" s="474"/>
      <c r="AD264" s="474"/>
      <c r="AE264" s="474"/>
      <c r="AF264" s="474"/>
      <c r="AG264" s="474"/>
      <c r="AH264" s="474"/>
      <c r="AI264" s="474"/>
      <c r="AJ264" s="474"/>
      <c r="AK264" s="474"/>
      <c r="AL264" s="474"/>
      <c r="AM264" s="474"/>
      <c r="AN264" s="474"/>
      <c r="AO264" s="474"/>
      <c r="AP264" s="474"/>
      <c r="AQ264" s="474"/>
      <c r="AR264" s="474"/>
      <c r="AS264" s="474"/>
      <c r="AT264" s="474"/>
      <c r="AU264" s="474"/>
      <c r="AV264" s="474"/>
      <c r="AW264" s="474"/>
      <c r="AX264" s="474"/>
      <c r="AY264" s="474"/>
      <c r="AZ264" s="474"/>
      <c r="BA264" s="474"/>
      <c r="BB264" s="474"/>
      <c r="BC264" s="474"/>
      <c r="BD264" s="474"/>
      <c r="BE264" s="474"/>
      <c r="BF264" s="474"/>
    </row>
    <row r="265" spans="1:58" s="475" customFormat="1" ht="25.2" customHeight="1">
      <c r="A265" s="473"/>
      <c r="B265" s="16" t="s">
        <v>805</v>
      </c>
      <c r="C265" s="16" t="s">
        <v>231</v>
      </c>
      <c r="D265" s="45" t="s">
        <v>194</v>
      </c>
      <c r="E265" s="16"/>
      <c r="F265" s="21" t="s">
        <v>948</v>
      </c>
      <c r="G265" s="173">
        <v>14</v>
      </c>
      <c r="H265" s="16" t="s">
        <v>1</v>
      </c>
      <c r="I265" s="19">
        <f>Cotação!E155</f>
        <v>17.010000000000002</v>
      </c>
      <c r="J265" s="19">
        <f t="shared" si="46"/>
        <v>20.497050000000002</v>
      </c>
      <c r="K265" s="228">
        <f t="shared" si="47"/>
        <v>286.95870000000002</v>
      </c>
      <c r="L265" s="242">
        <f>K265/K263</f>
        <v>4.0508129182386943E-2</v>
      </c>
      <c r="M265" s="258"/>
      <c r="N265" s="242"/>
      <c r="O265" s="474"/>
      <c r="P265" s="474"/>
      <c r="Q265" s="474"/>
      <c r="R265" s="474"/>
      <c r="S265" s="474"/>
      <c r="T265" s="474"/>
      <c r="U265" s="474"/>
      <c r="V265" s="474"/>
      <c r="W265" s="474"/>
      <c r="X265" s="474"/>
      <c r="Y265" s="474"/>
      <c r="Z265" s="474"/>
      <c r="AA265" s="474"/>
      <c r="AB265" s="474"/>
      <c r="AC265" s="474"/>
      <c r="AD265" s="474"/>
      <c r="AE265" s="474"/>
      <c r="AF265" s="474"/>
      <c r="AG265" s="474"/>
      <c r="AH265" s="474"/>
      <c r="AI265" s="474"/>
      <c r="AJ265" s="474"/>
      <c r="AK265" s="474"/>
      <c r="AL265" s="474"/>
      <c r="AM265" s="474"/>
      <c r="AN265" s="474"/>
      <c r="AO265" s="474"/>
      <c r="AP265" s="474"/>
      <c r="AQ265" s="474"/>
      <c r="AR265" s="474"/>
      <c r="AS265" s="474"/>
      <c r="AT265" s="474"/>
      <c r="AU265" s="474"/>
      <c r="AV265" s="474"/>
      <c r="AW265" s="474"/>
      <c r="AX265" s="474"/>
      <c r="AY265" s="474"/>
      <c r="AZ265" s="474"/>
      <c r="BA265" s="474"/>
      <c r="BB265" s="474"/>
      <c r="BC265" s="474"/>
      <c r="BD265" s="474"/>
      <c r="BE265" s="474"/>
      <c r="BF265" s="474"/>
    </row>
    <row r="266" spans="1:58" s="475" customFormat="1" ht="25.2" customHeight="1">
      <c r="A266" s="473"/>
      <c r="B266" s="16" t="s">
        <v>806</v>
      </c>
      <c r="C266" s="16" t="s">
        <v>231</v>
      </c>
      <c r="D266" s="45" t="s">
        <v>198</v>
      </c>
      <c r="E266" s="16"/>
      <c r="F266" s="21" t="s">
        <v>125</v>
      </c>
      <c r="G266" s="173">
        <v>4</v>
      </c>
      <c r="H266" s="16" t="s">
        <v>1</v>
      </c>
      <c r="I266" s="19">
        <f>Cotação!E161</f>
        <v>123.2</v>
      </c>
      <c r="J266" s="19">
        <f t="shared" si="46"/>
        <v>148.45600000000002</v>
      </c>
      <c r="K266" s="228">
        <f t="shared" si="47"/>
        <v>593.82400000000007</v>
      </c>
      <c r="L266" s="242">
        <f>K266/K263</f>
        <v>8.3826346103469757E-2</v>
      </c>
      <c r="M266" s="258"/>
      <c r="N266" s="242"/>
      <c r="O266" s="474"/>
      <c r="P266" s="474"/>
      <c r="Q266" s="474"/>
      <c r="R266" s="474"/>
      <c r="S266" s="474"/>
      <c r="T266" s="474"/>
      <c r="U266" s="474"/>
      <c r="V266" s="474"/>
      <c r="W266" s="474"/>
      <c r="X266" s="474"/>
      <c r="Y266" s="474"/>
      <c r="Z266" s="474"/>
      <c r="AA266" s="474"/>
      <c r="AB266" s="474"/>
      <c r="AC266" s="474"/>
      <c r="AD266" s="474"/>
      <c r="AE266" s="474"/>
      <c r="AF266" s="474"/>
      <c r="AG266" s="474"/>
      <c r="AH266" s="474"/>
      <c r="AI266" s="474"/>
      <c r="AJ266" s="474"/>
      <c r="AK266" s="474"/>
      <c r="AL266" s="474"/>
      <c r="AM266" s="474"/>
      <c r="AN266" s="474"/>
      <c r="AO266" s="474"/>
      <c r="AP266" s="474"/>
      <c r="AQ266" s="474"/>
      <c r="AR266" s="474"/>
      <c r="AS266" s="474"/>
      <c r="AT266" s="474"/>
      <c r="AU266" s="474"/>
      <c r="AV266" s="474"/>
      <c r="AW266" s="474"/>
      <c r="AX266" s="474"/>
      <c r="AY266" s="474"/>
      <c r="AZ266" s="474"/>
      <c r="BA266" s="474"/>
      <c r="BB266" s="474"/>
      <c r="BC266" s="474"/>
      <c r="BD266" s="474"/>
      <c r="BE266" s="474"/>
      <c r="BF266" s="474"/>
    </row>
    <row r="267" spans="1:58" s="475" customFormat="1" ht="25.2" customHeight="1">
      <c r="A267" s="473"/>
      <c r="B267" s="16" t="s">
        <v>807</v>
      </c>
      <c r="C267" s="16" t="s">
        <v>231</v>
      </c>
      <c r="D267" s="45" t="s">
        <v>199</v>
      </c>
      <c r="E267" s="16"/>
      <c r="F267" s="21" t="s">
        <v>950</v>
      </c>
      <c r="G267" s="173">
        <v>1</v>
      </c>
      <c r="H267" s="16" t="s">
        <v>1</v>
      </c>
      <c r="I267" s="19">
        <f>Cotação!E167</f>
        <v>33.6</v>
      </c>
      <c r="J267" s="19">
        <f t="shared" si="46"/>
        <v>40.488</v>
      </c>
      <c r="K267" s="228">
        <f t="shared" si="47"/>
        <v>40.488</v>
      </c>
      <c r="L267" s="242">
        <f>K267/K263</f>
        <v>5.7154326888729364E-3</v>
      </c>
      <c r="M267" s="258"/>
      <c r="N267" s="242"/>
      <c r="O267" s="474"/>
      <c r="P267" s="474"/>
      <c r="Q267" s="474"/>
      <c r="R267" s="474"/>
      <c r="S267" s="474"/>
      <c r="T267" s="474"/>
      <c r="U267" s="474"/>
      <c r="V267" s="474"/>
      <c r="W267" s="474"/>
      <c r="X267" s="474"/>
      <c r="Y267" s="474"/>
      <c r="Z267" s="474"/>
      <c r="AA267" s="474"/>
      <c r="AB267" s="474"/>
      <c r="AC267" s="474"/>
      <c r="AD267" s="474"/>
      <c r="AE267" s="474"/>
      <c r="AF267" s="474"/>
      <c r="AG267" s="474"/>
      <c r="AH267" s="474"/>
      <c r="AI267" s="474"/>
      <c r="AJ267" s="474"/>
      <c r="AK267" s="474"/>
      <c r="AL267" s="474"/>
      <c r="AM267" s="474"/>
      <c r="AN267" s="474"/>
      <c r="AO267" s="474"/>
      <c r="AP267" s="474"/>
      <c r="AQ267" s="474"/>
      <c r="AR267" s="474"/>
      <c r="AS267" s="474"/>
      <c r="AT267" s="474"/>
      <c r="AU267" s="474"/>
      <c r="AV267" s="474"/>
      <c r="AW267" s="474"/>
      <c r="AX267" s="474"/>
      <c r="AY267" s="474"/>
      <c r="AZ267" s="474"/>
      <c r="BA267" s="474"/>
      <c r="BB267" s="474"/>
      <c r="BC267" s="474"/>
      <c r="BD267" s="474"/>
      <c r="BE267" s="474"/>
      <c r="BF267" s="474"/>
    </row>
    <row r="268" spans="1:58" s="475" customFormat="1" ht="25.2" customHeight="1">
      <c r="A268" s="473"/>
      <c r="B268" s="16" t="s">
        <v>808</v>
      </c>
      <c r="C268" s="16" t="s">
        <v>231</v>
      </c>
      <c r="D268" s="45" t="s">
        <v>200</v>
      </c>
      <c r="E268" s="16"/>
      <c r="F268" s="21" t="s">
        <v>949</v>
      </c>
      <c r="G268" s="173">
        <v>6</v>
      </c>
      <c r="H268" s="16" t="s">
        <v>1</v>
      </c>
      <c r="I268" s="19">
        <f>Cotação!E173</f>
        <v>19.88</v>
      </c>
      <c r="J268" s="19">
        <f t="shared" si="46"/>
        <v>23.955399999999997</v>
      </c>
      <c r="K268" s="228">
        <f t="shared" si="47"/>
        <v>143.73239999999998</v>
      </c>
      <c r="L268" s="242">
        <f>K268/K263</f>
        <v>2.0289786045498925E-2</v>
      </c>
      <c r="M268" s="258"/>
      <c r="N268" s="242"/>
      <c r="O268" s="474"/>
      <c r="P268" s="474"/>
      <c r="Q268" s="474"/>
      <c r="R268" s="474"/>
      <c r="S268" s="474"/>
      <c r="T268" s="474"/>
      <c r="U268" s="474"/>
      <c r="V268" s="474"/>
      <c r="W268" s="474"/>
      <c r="X268" s="474"/>
      <c r="Y268" s="474"/>
      <c r="Z268" s="474"/>
      <c r="AA268" s="474"/>
      <c r="AB268" s="474"/>
      <c r="AC268" s="474"/>
      <c r="AD268" s="474"/>
      <c r="AE268" s="474"/>
      <c r="AF268" s="474"/>
      <c r="AG268" s="474"/>
      <c r="AH268" s="474"/>
      <c r="AI268" s="474"/>
      <c r="AJ268" s="474"/>
      <c r="AK268" s="474"/>
      <c r="AL268" s="474"/>
      <c r="AM268" s="474"/>
      <c r="AN268" s="474"/>
      <c r="AO268" s="474"/>
      <c r="AP268" s="474"/>
      <c r="AQ268" s="474"/>
      <c r="AR268" s="474"/>
      <c r="AS268" s="474"/>
      <c r="AT268" s="474"/>
      <c r="AU268" s="474"/>
      <c r="AV268" s="474"/>
      <c r="AW268" s="474"/>
      <c r="AX268" s="474"/>
      <c r="AY268" s="474"/>
      <c r="AZ268" s="474"/>
      <c r="BA268" s="474"/>
      <c r="BB268" s="474"/>
      <c r="BC268" s="474"/>
      <c r="BD268" s="474"/>
      <c r="BE268" s="474"/>
      <c r="BF268" s="474"/>
    </row>
    <row r="269" spans="1:58" s="475" customFormat="1" ht="25.2" customHeight="1">
      <c r="A269" s="473"/>
      <c r="B269" s="16" t="s">
        <v>809</v>
      </c>
      <c r="C269" s="16" t="s">
        <v>231</v>
      </c>
      <c r="D269" s="45" t="s">
        <v>201</v>
      </c>
      <c r="E269" s="16"/>
      <c r="F269" s="21" t="s">
        <v>128</v>
      </c>
      <c r="G269" s="173">
        <v>3</v>
      </c>
      <c r="H269" s="16" t="s">
        <v>1</v>
      </c>
      <c r="I269" s="19">
        <f>Cotação!E179</f>
        <v>94.9</v>
      </c>
      <c r="J269" s="19">
        <f t="shared" si="46"/>
        <v>114.3545</v>
      </c>
      <c r="K269" s="228">
        <f t="shared" si="47"/>
        <v>343.06349999999998</v>
      </c>
      <c r="L269" s="242">
        <f>K269/K263</f>
        <v>4.8428085908396576E-2</v>
      </c>
      <c r="M269" s="258"/>
      <c r="N269" s="242"/>
      <c r="O269" s="474"/>
      <c r="P269" s="474"/>
      <c r="Q269" s="474"/>
      <c r="R269" s="474"/>
      <c r="S269" s="474"/>
      <c r="T269" s="474"/>
      <c r="U269" s="474"/>
      <c r="V269" s="474"/>
      <c r="W269" s="474"/>
      <c r="X269" s="474"/>
      <c r="Y269" s="474"/>
      <c r="Z269" s="474"/>
      <c r="AA269" s="474"/>
      <c r="AB269" s="474"/>
      <c r="AC269" s="474"/>
      <c r="AD269" s="474"/>
      <c r="AE269" s="474"/>
      <c r="AF269" s="474"/>
      <c r="AG269" s="474"/>
      <c r="AH269" s="474"/>
      <c r="AI269" s="474"/>
      <c r="AJ269" s="474"/>
      <c r="AK269" s="474"/>
      <c r="AL269" s="474"/>
      <c r="AM269" s="474"/>
      <c r="AN269" s="474"/>
      <c r="AO269" s="474"/>
      <c r="AP269" s="474"/>
      <c r="AQ269" s="474"/>
      <c r="AR269" s="474"/>
      <c r="AS269" s="474"/>
      <c r="AT269" s="474"/>
      <c r="AU269" s="474"/>
      <c r="AV269" s="474"/>
      <c r="AW269" s="474"/>
      <c r="AX269" s="474"/>
      <c r="AY269" s="474"/>
      <c r="AZ269" s="474"/>
      <c r="BA269" s="474"/>
      <c r="BB269" s="474"/>
      <c r="BC269" s="474"/>
      <c r="BD269" s="474"/>
      <c r="BE269" s="474"/>
      <c r="BF269" s="474"/>
    </row>
    <row r="270" spans="1:58" s="475" customFormat="1" ht="25.2" customHeight="1">
      <c r="A270" s="473"/>
      <c r="B270" s="16" t="s">
        <v>810</v>
      </c>
      <c r="C270" s="16" t="s">
        <v>231</v>
      </c>
      <c r="D270" s="45" t="s">
        <v>204</v>
      </c>
      <c r="E270" s="16"/>
      <c r="F270" s="21" t="s">
        <v>952</v>
      </c>
      <c r="G270" s="173">
        <v>5</v>
      </c>
      <c r="H270" s="16" t="s">
        <v>1</v>
      </c>
      <c r="I270" s="19">
        <f>Cotação!E185</f>
        <v>23.58</v>
      </c>
      <c r="J270" s="19">
        <f t="shared" si="46"/>
        <v>28.413899999999998</v>
      </c>
      <c r="K270" s="228">
        <f t="shared" si="47"/>
        <v>142.06950000000001</v>
      </c>
      <c r="L270" s="242">
        <f>K270/K263</f>
        <v>2.0055045060063073E-2</v>
      </c>
      <c r="M270" s="258"/>
      <c r="N270" s="242"/>
      <c r="O270" s="474"/>
      <c r="P270" s="474"/>
      <c r="Q270" s="474"/>
      <c r="R270" s="474"/>
      <c r="S270" s="474"/>
      <c r="T270" s="474"/>
      <c r="U270" s="474"/>
      <c r="V270" s="474"/>
      <c r="W270" s="474"/>
      <c r="X270" s="474"/>
      <c r="Y270" s="474"/>
      <c r="Z270" s="474"/>
      <c r="AA270" s="474"/>
      <c r="AB270" s="474"/>
      <c r="AC270" s="474"/>
      <c r="AD270" s="474"/>
      <c r="AE270" s="474"/>
      <c r="AF270" s="474"/>
      <c r="AG270" s="474"/>
      <c r="AH270" s="474"/>
      <c r="AI270" s="474"/>
      <c r="AJ270" s="474"/>
      <c r="AK270" s="474"/>
      <c r="AL270" s="474"/>
      <c r="AM270" s="474"/>
      <c r="AN270" s="474"/>
      <c r="AO270" s="474"/>
      <c r="AP270" s="474"/>
      <c r="AQ270" s="474"/>
      <c r="AR270" s="474"/>
      <c r="AS270" s="474"/>
      <c r="AT270" s="474"/>
      <c r="AU270" s="474"/>
      <c r="AV270" s="474"/>
      <c r="AW270" s="474"/>
      <c r="AX270" s="474"/>
      <c r="AY270" s="474"/>
      <c r="AZ270" s="474"/>
      <c r="BA270" s="474"/>
      <c r="BB270" s="474"/>
      <c r="BC270" s="474"/>
      <c r="BD270" s="474"/>
      <c r="BE270" s="474"/>
      <c r="BF270" s="474"/>
    </row>
    <row r="271" spans="1:58" s="475" customFormat="1" ht="25.2" customHeight="1">
      <c r="A271" s="473"/>
      <c r="B271" s="16" t="s">
        <v>811</v>
      </c>
      <c r="C271" s="16" t="s">
        <v>10</v>
      </c>
      <c r="D271" s="45" t="s">
        <v>953</v>
      </c>
      <c r="E271" s="16"/>
      <c r="F271" s="21" t="s">
        <v>954</v>
      </c>
      <c r="G271" s="173">
        <v>4</v>
      </c>
      <c r="H271" s="16" t="s">
        <v>1</v>
      </c>
      <c r="I271" s="19">
        <v>65.36</v>
      </c>
      <c r="J271" s="19">
        <f t="shared" ref="J271" si="48">I271*$I$3+I271</f>
        <v>78.758799999999994</v>
      </c>
      <c r="K271" s="228">
        <f t="shared" ref="K271" si="49">G271*J271</f>
        <v>315.03519999999997</v>
      </c>
      <c r="L271" s="242">
        <f>K271/K263</f>
        <v>4.447150958865894E-2</v>
      </c>
      <c r="M271" s="258"/>
      <c r="N271" s="242"/>
      <c r="O271" s="474"/>
      <c r="P271" s="474"/>
      <c r="Q271" s="474"/>
      <c r="R271" s="474"/>
      <c r="S271" s="474"/>
      <c r="T271" s="474"/>
      <c r="U271" s="474"/>
      <c r="V271" s="474"/>
      <c r="W271" s="474"/>
      <c r="X271" s="474"/>
      <c r="Y271" s="474"/>
      <c r="Z271" s="474"/>
      <c r="AA271" s="474"/>
      <c r="AB271" s="474"/>
      <c r="AC271" s="474"/>
      <c r="AD271" s="474"/>
      <c r="AE271" s="474"/>
      <c r="AF271" s="474"/>
      <c r="AG271" s="474"/>
      <c r="AH271" s="474"/>
      <c r="AI271" s="474"/>
      <c r="AJ271" s="474"/>
      <c r="AK271" s="474"/>
      <c r="AL271" s="474"/>
      <c r="AM271" s="474"/>
      <c r="AN271" s="474"/>
      <c r="AO271" s="474"/>
      <c r="AP271" s="474"/>
      <c r="AQ271" s="474"/>
      <c r="AR271" s="474"/>
      <c r="AS271" s="474"/>
      <c r="AT271" s="474"/>
      <c r="AU271" s="474"/>
      <c r="AV271" s="474"/>
      <c r="AW271" s="474"/>
      <c r="AX271" s="474"/>
      <c r="AY271" s="474"/>
      <c r="AZ271" s="474"/>
      <c r="BA271" s="474"/>
      <c r="BB271" s="474"/>
      <c r="BC271" s="474"/>
      <c r="BD271" s="474"/>
      <c r="BE271" s="474"/>
      <c r="BF271" s="474"/>
    </row>
    <row r="272" spans="1:58" s="475" customFormat="1" ht="25.2" customHeight="1">
      <c r="A272" s="473"/>
      <c r="B272" s="16" t="s">
        <v>812</v>
      </c>
      <c r="C272" s="16" t="s">
        <v>231</v>
      </c>
      <c r="D272" s="45" t="s">
        <v>206</v>
      </c>
      <c r="E272" s="16"/>
      <c r="F272" s="21" t="s">
        <v>280</v>
      </c>
      <c r="G272" s="173">
        <v>6</v>
      </c>
      <c r="H272" s="16" t="s">
        <v>1</v>
      </c>
      <c r="I272" s="19">
        <f>Cotação!E192</f>
        <v>187.63</v>
      </c>
      <c r="J272" s="19">
        <f t="shared" si="46"/>
        <v>226.09414999999998</v>
      </c>
      <c r="K272" s="228">
        <f t="shared" si="47"/>
        <v>1356.5648999999999</v>
      </c>
      <c r="L272" s="242">
        <f>K272/K263</f>
        <v>0.19149761346664804</v>
      </c>
      <c r="M272" s="258"/>
      <c r="N272" s="242"/>
      <c r="O272" s="474"/>
      <c r="P272" s="474"/>
      <c r="Q272" s="474"/>
      <c r="R272" s="474"/>
      <c r="S272" s="474"/>
      <c r="T272" s="474"/>
      <c r="U272" s="474"/>
      <c r="V272" s="474"/>
      <c r="W272" s="474"/>
      <c r="X272" s="474"/>
      <c r="Y272" s="474"/>
      <c r="Z272" s="474"/>
      <c r="AA272" s="474"/>
      <c r="AB272" s="474"/>
      <c r="AC272" s="474"/>
      <c r="AD272" s="474"/>
      <c r="AE272" s="474"/>
      <c r="AF272" s="474"/>
      <c r="AG272" s="474"/>
      <c r="AH272" s="474"/>
      <c r="AI272" s="474"/>
      <c r="AJ272" s="474"/>
      <c r="AK272" s="474"/>
      <c r="AL272" s="474"/>
      <c r="AM272" s="474"/>
      <c r="AN272" s="474"/>
      <c r="AO272" s="474"/>
      <c r="AP272" s="474"/>
      <c r="AQ272" s="474"/>
      <c r="AR272" s="474"/>
      <c r="AS272" s="474"/>
      <c r="AT272" s="474"/>
      <c r="AU272" s="474"/>
      <c r="AV272" s="474"/>
      <c r="AW272" s="474"/>
      <c r="AX272" s="474"/>
      <c r="AY272" s="474"/>
      <c r="AZ272" s="474"/>
      <c r="BA272" s="474"/>
      <c r="BB272" s="474"/>
      <c r="BC272" s="474"/>
      <c r="BD272" s="474"/>
      <c r="BE272" s="474"/>
      <c r="BF272" s="474"/>
    </row>
    <row r="273" spans="1:58" s="475" customFormat="1" ht="25.2" customHeight="1">
      <c r="A273" s="473"/>
      <c r="B273" s="16" t="s">
        <v>955</v>
      </c>
      <c r="C273" s="16" t="s">
        <v>10</v>
      </c>
      <c r="D273" s="45" t="s">
        <v>595</v>
      </c>
      <c r="E273" s="16"/>
      <c r="F273" s="21" t="s">
        <v>127</v>
      </c>
      <c r="G273" s="173">
        <v>9</v>
      </c>
      <c r="H273" s="16" t="s">
        <v>1</v>
      </c>
      <c r="I273" s="19">
        <v>112.7</v>
      </c>
      <c r="J273" s="19">
        <f t="shared" si="46"/>
        <v>135.80350000000001</v>
      </c>
      <c r="K273" s="228">
        <f t="shared" si="47"/>
        <v>1222.2315000000001</v>
      </c>
      <c r="L273" s="242">
        <f>K273/K263</f>
        <v>0.1725346242953518</v>
      </c>
      <c r="M273" s="258"/>
      <c r="N273" s="242"/>
      <c r="O273" s="474"/>
      <c r="P273" s="474"/>
      <c r="Q273" s="474"/>
      <c r="R273" s="474"/>
      <c r="S273" s="474"/>
      <c r="T273" s="474"/>
      <c r="U273" s="474"/>
      <c r="V273" s="474"/>
      <c r="W273" s="474"/>
      <c r="X273" s="474"/>
      <c r="Y273" s="474"/>
      <c r="Z273" s="474"/>
      <c r="AA273" s="474"/>
      <c r="AB273" s="474"/>
      <c r="AC273" s="474"/>
      <c r="AD273" s="474"/>
      <c r="AE273" s="474"/>
      <c r="AF273" s="474"/>
      <c r="AG273" s="474"/>
      <c r="AH273" s="474"/>
      <c r="AI273" s="474"/>
      <c r="AJ273" s="474"/>
      <c r="AK273" s="474"/>
      <c r="AL273" s="474"/>
      <c r="AM273" s="474"/>
      <c r="AN273" s="474"/>
      <c r="AO273" s="474"/>
      <c r="AP273" s="474"/>
      <c r="AQ273" s="474"/>
      <c r="AR273" s="474"/>
      <c r="AS273" s="474"/>
      <c r="AT273" s="474"/>
      <c r="AU273" s="474"/>
      <c r="AV273" s="474"/>
      <c r="AW273" s="474"/>
      <c r="AX273" s="474"/>
      <c r="AY273" s="474"/>
      <c r="AZ273" s="474"/>
      <c r="BA273" s="474"/>
      <c r="BB273" s="474"/>
      <c r="BC273" s="474"/>
      <c r="BD273" s="474"/>
      <c r="BE273" s="474"/>
      <c r="BF273" s="474"/>
    </row>
    <row r="274" spans="1:58" ht="25.2" customHeight="1">
      <c r="B274" s="291"/>
      <c r="C274" s="292"/>
      <c r="D274" s="293"/>
      <c r="E274" s="292"/>
      <c r="F274" s="294"/>
      <c r="G274" s="295"/>
      <c r="H274" s="291"/>
      <c r="I274" s="296"/>
      <c r="J274" s="297"/>
      <c r="K274" s="298"/>
    </row>
    <row r="275" spans="1:58" ht="25.2" customHeight="1">
      <c r="B275" s="187" t="s">
        <v>472</v>
      </c>
      <c r="C275" s="537" t="s">
        <v>60</v>
      </c>
      <c r="D275" s="538"/>
      <c r="E275" s="538"/>
      <c r="F275" s="538"/>
      <c r="G275" s="538"/>
      <c r="H275" s="538"/>
      <c r="I275" s="538"/>
      <c r="J275" s="539"/>
      <c r="K275" s="234">
        <f>SUM(K276:K281)</f>
        <v>3510.1288499999996</v>
      </c>
      <c r="L275" s="240">
        <f>SUM(L276:L281)</f>
        <v>1</v>
      </c>
      <c r="M275" s="256">
        <f>K275/K296</f>
        <v>2.7196352122163571E-2</v>
      </c>
      <c r="N275" s="240">
        <f>K275/K398</f>
        <v>5.4008593617992347E-3</v>
      </c>
    </row>
    <row r="276" spans="1:58" s="475" customFormat="1" ht="25.2" customHeight="1">
      <c r="A276" s="473"/>
      <c r="B276" s="16" t="s">
        <v>813</v>
      </c>
      <c r="C276" s="16" t="s">
        <v>10</v>
      </c>
      <c r="D276" s="45" t="s">
        <v>961</v>
      </c>
      <c r="E276" s="16" t="s">
        <v>12</v>
      </c>
      <c r="F276" s="21" t="s">
        <v>960</v>
      </c>
      <c r="G276" s="173">
        <v>150</v>
      </c>
      <c r="H276" s="16" t="s">
        <v>13</v>
      </c>
      <c r="I276" s="19">
        <v>2.12</v>
      </c>
      <c r="J276" s="19">
        <f t="shared" ref="J276:J281" si="50">I276*$I$3+I276</f>
        <v>2.5546000000000002</v>
      </c>
      <c r="K276" s="228">
        <f t="shared" ref="K276:K281" si="51">G276*J276</f>
        <v>383.19000000000005</v>
      </c>
      <c r="L276" s="242">
        <f>K276/K275</f>
        <v>0.10916693271815367</v>
      </c>
      <c r="M276" s="258"/>
      <c r="N276" s="242"/>
      <c r="O276" s="474"/>
      <c r="P276" s="474"/>
      <c r="Q276" s="474"/>
      <c r="R276" s="474"/>
      <c r="S276" s="474"/>
      <c r="T276" s="474"/>
      <c r="U276" s="474"/>
      <c r="V276" s="474"/>
      <c r="W276" s="474"/>
      <c r="X276" s="474"/>
      <c r="Y276" s="474"/>
      <c r="Z276" s="474"/>
      <c r="AA276" s="474"/>
      <c r="AB276" s="474"/>
      <c r="AC276" s="474"/>
      <c r="AD276" s="474"/>
      <c r="AE276" s="474"/>
      <c r="AF276" s="474"/>
      <c r="AG276" s="474"/>
      <c r="AH276" s="474"/>
      <c r="AI276" s="474"/>
      <c r="AJ276" s="474"/>
      <c r="AK276" s="474"/>
      <c r="AL276" s="474"/>
      <c r="AM276" s="474"/>
      <c r="AN276" s="474"/>
      <c r="AO276" s="474"/>
      <c r="AP276" s="474"/>
      <c r="AQ276" s="474"/>
      <c r="AR276" s="474"/>
      <c r="AS276" s="474"/>
      <c r="AT276" s="474"/>
      <c r="AU276" s="474"/>
      <c r="AV276" s="474"/>
      <c r="AW276" s="474"/>
      <c r="AX276" s="474"/>
      <c r="AY276" s="474"/>
      <c r="AZ276" s="474"/>
      <c r="BA276" s="474"/>
      <c r="BB276" s="474"/>
      <c r="BC276" s="474"/>
      <c r="BD276" s="474"/>
      <c r="BE276" s="474"/>
      <c r="BF276" s="474"/>
    </row>
    <row r="277" spans="1:58" s="475" customFormat="1" ht="25.2" customHeight="1">
      <c r="A277" s="473"/>
      <c r="B277" s="16" t="s">
        <v>814</v>
      </c>
      <c r="C277" s="16" t="s">
        <v>10</v>
      </c>
      <c r="D277" s="45" t="s">
        <v>959</v>
      </c>
      <c r="E277" s="16" t="s">
        <v>12</v>
      </c>
      <c r="F277" s="21" t="s">
        <v>958</v>
      </c>
      <c r="G277" s="173">
        <v>150</v>
      </c>
      <c r="H277" s="16" t="s">
        <v>13</v>
      </c>
      <c r="I277" s="19">
        <v>3.72</v>
      </c>
      <c r="J277" s="19">
        <f t="shared" ref="J277" si="52">I277*$I$3+I277</f>
        <v>4.4825999999999997</v>
      </c>
      <c r="K277" s="228">
        <f t="shared" ref="K277" si="53">G277*J277</f>
        <v>672.39</v>
      </c>
      <c r="L277" s="242">
        <f>K277/K275</f>
        <v>0.19155707061864696</v>
      </c>
      <c r="M277" s="258"/>
      <c r="N277" s="242"/>
      <c r="O277" s="474"/>
      <c r="P277" s="474"/>
      <c r="Q277" s="474"/>
      <c r="R277" s="474"/>
      <c r="S277" s="474"/>
      <c r="T277" s="474"/>
      <c r="U277" s="474"/>
      <c r="V277" s="474"/>
      <c r="W277" s="474"/>
      <c r="X277" s="474"/>
      <c r="Y277" s="474"/>
      <c r="Z277" s="474"/>
      <c r="AA277" s="474"/>
      <c r="AB277" s="474"/>
      <c r="AC277" s="474"/>
      <c r="AD277" s="474"/>
      <c r="AE277" s="474"/>
      <c r="AF277" s="474"/>
      <c r="AG277" s="474"/>
      <c r="AH277" s="474"/>
      <c r="AI277" s="474"/>
      <c r="AJ277" s="474"/>
      <c r="AK277" s="474"/>
      <c r="AL277" s="474"/>
      <c r="AM277" s="474"/>
      <c r="AN277" s="474"/>
      <c r="AO277" s="474"/>
      <c r="AP277" s="474"/>
      <c r="AQ277" s="474"/>
      <c r="AR277" s="474"/>
      <c r="AS277" s="474"/>
      <c r="AT277" s="474"/>
      <c r="AU277" s="474"/>
      <c r="AV277" s="474"/>
      <c r="AW277" s="474"/>
      <c r="AX277" s="474"/>
      <c r="AY277" s="474"/>
      <c r="AZ277" s="474"/>
      <c r="BA277" s="474"/>
      <c r="BB277" s="474"/>
      <c r="BC277" s="474"/>
      <c r="BD277" s="474"/>
      <c r="BE277" s="474"/>
      <c r="BF277" s="474"/>
    </row>
    <row r="278" spans="1:58" s="475" customFormat="1" ht="25.2" customHeight="1">
      <c r="A278" s="473"/>
      <c r="B278" s="16" t="s">
        <v>815</v>
      </c>
      <c r="C278" s="16" t="s">
        <v>10</v>
      </c>
      <c r="D278" s="45" t="s">
        <v>540</v>
      </c>
      <c r="E278" s="16" t="s">
        <v>12</v>
      </c>
      <c r="F278" s="21" t="s">
        <v>539</v>
      </c>
      <c r="G278" s="173">
        <v>1</v>
      </c>
      <c r="H278" s="16" t="s">
        <v>13</v>
      </c>
      <c r="I278" s="19">
        <v>489.96</v>
      </c>
      <c r="J278" s="19">
        <f t="shared" si="50"/>
        <v>590.40179999999998</v>
      </c>
      <c r="K278" s="228">
        <f t="shared" si="51"/>
        <v>590.40179999999998</v>
      </c>
      <c r="L278" s="242">
        <f>K278/K275</f>
        <v>0.16819946652385712</v>
      </c>
      <c r="M278" s="258"/>
      <c r="N278" s="242"/>
      <c r="O278" s="474"/>
      <c r="P278" s="474"/>
      <c r="Q278" s="474"/>
      <c r="R278" s="474"/>
      <c r="S278" s="474"/>
      <c r="T278" s="474"/>
      <c r="U278" s="474"/>
      <c r="V278" s="474"/>
      <c r="W278" s="474"/>
      <c r="X278" s="474"/>
      <c r="Y278" s="474"/>
      <c r="Z278" s="474"/>
      <c r="AA278" s="474"/>
      <c r="AB278" s="474"/>
      <c r="AC278" s="474"/>
      <c r="AD278" s="474"/>
      <c r="AE278" s="474"/>
      <c r="AF278" s="474"/>
      <c r="AG278" s="474"/>
      <c r="AH278" s="474"/>
      <c r="AI278" s="474"/>
      <c r="AJ278" s="474"/>
      <c r="AK278" s="474"/>
      <c r="AL278" s="474"/>
      <c r="AM278" s="474"/>
      <c r="AN278" s="474"/>
      <c r="AO278" s="474"/>
      <c r="AP278" s="474"/>
      <c r="AQ278" s="474"/>
      <c r="AR278" s="474"/>
      <c r="AS278" s="474"/>
      <c r="AT278" s="474"/>
      <c r="AU278" s="474"/>
      <c r="AV278" s="474"/>
      <c r="AW278" s="474"/>
      <c r="AX278" s="474"/>
      <c r="AY278" s="474"/>
      <c r="AZ278" s="474"/>
      <c r="BA278" s="474"/>
      <c r="BB278" s="474"/>
      <c r="BC278" s="474"/>
      <c r="BD278" s="474"/>
      <c r="BE278" s="474"/>
      <c r="BF278" s="474"/>
    </row>
    <row r="279" spans="1:58" s="475" customFormat="1" ht="25.2" customHeight="1">
      <c r="A279" s="473"/>
      <c r="B279" s="16" t="s">
        <v>816</v>
      </c>
      <c r="C279" s="16" t="s">
        <v>10</v>
      </c>
      <c r="D279" s="45" t="s">
        <v>542</v>
      </c>
      <c r="E279" s="16"/>
      <c r="F279" s="21" t="s">
        <v>541</v>
      </c>
      <c r="G279" s="173">
        <v>17</v>
      </c>
      <c r="H279" s="16" t="s">
        <v>41</v>
      </c>
      <c r="I279" s="19">
        <v>43.33</v>
      </c>
      <c r="J279" s="19">
        <f t="shared" si="50"/>
        <v>52.212649999999996</v>
      </c>
      <c r="K279" s="228">
        <f t="shared" si="51"/>
        <v>887.61504999999988</v>
      </c>
      <c r="L279" s="242">
        <f>K279/K275</f>
        <v>0.25287249782867655</v>
      </c>
      <c r="M279" s="258"/>
      <c r="N279" s="242"/>
      <c r="O279" s="474"/>
      <c r="P279" s="474"/>
      <c r="Q279" s="474"/>
      <c r="R279" s="474"/>
      <c r="S279" s="474"/>
      <c r="T279" s="474"/>
      <c r="U279" s="474"/>
      <c r="V279" s="474"/>
      <c r="W279" s="474"/>
      <c r="X279" s="474"/>
      <c r="Y279" s="474"/>
      <c r="Z279" s="474"/>
      <c r="AA279" s="474"/>
      <c r="AB279" s="474"/>
      <c r="AC279" s="474"/>
      <c r="AD279" s="474"/>
      <c r="AE279" s="474"/>
      <c r="AF279" s="474"/>
      <c r="AG279" s="474"/>
      <c r="AH279" s="474"/>
      <c r="AI279" s="474"/>
      <c r="AJ279" s="474"/>
      <c r="AK279" s="474"/>
      <c r="AL279" s="474"/>
      <c r="AM279" s="474"/>
      <c r="AN279" s="474"/>
      <c r="AO279" s="474"/>
      <c r="AP279" s="474"/>
      <c r="AQ279" s="474"/>
      <c r="AR279" s="474"/>
      <c r="AS279" s="474"/>
      <c r="AT279" s="474"/>
      <c r="AU279" s="474"/>
      <c r="AV279" s="474"/>
      <c r="AW279" s="474"/>
      <c r="AX279" s="474"/>
      <c r="AY279" s="474"/>
      <c r="AZ279" s="474"/>
      <c r="BA279" s="474"/>
      <c r="BB279" s="474"/>
      <c r="BC279" s="474"/>
      <c r="BD279" s="474"/>
      <c r="BE279" s="474"/>
      <c r="BF279" s="474"/>
    </row>
    <row r="280" spans="1:58" s="475" customFormat="1" ht="25.2" customHeight="1">
      <c r="A280" s="473"/>
      <c r="B280" s="16" t="s">
        <v>817</v>
      </c>
      <c r="C280" s="16" t="s">
        <v>10</v>
      </c>
      <c r="D280" s="45" t="s">
        <v>543</v>
      </c>
      <c r="E280" s="16"/>
      <c r="F280" s="21" t="s">
        <v>544</v>
      </c>
      <c r="G280" s="173">
        <v>17</v>
      </c>
      <c r="H280" s="16" t="s">
        <v>41</v>
      </c>
      <c r="I280" s="19">
        <v>28.8</v>
      </c>
      <c r="J280" s="19">
        <f t="shared" si="50"/>
        <v>34.704000000000001</v>
      </c>
      <c r="K280" s="228">
        <f t="shared" si="51"/>
        <v>589.96799999999996</v>
      </c>
      <c r="L280" s="242">
        <f>K280/K275</f>
        <v>0.16807588131700638</v>
      </c>
      <c r="M280" s="258"/>
      <c r="N280" s="242"/>
      <c r="O280" s="474"/>
      <c r="P280" s="474"/>
      <c r="Q280" s="474"/>
      <c r="R280" s="474"/>
      <c r="S280" s="474"/>
      <c r="T280" s="474"/>
      <c r="U280" s="474"/>
      <c r="V280" s="474"/>
      <c r="W280" s="474"/>
      <c r="X280" s="474"/>
      <c r="Y280" s="474"/>
      <c r="Z280" s="474"/>
      <c r="AA280" s="474"/>
      <c r="AB280" s="474"/>
      <c r="AC280" s="474"/>
      <c r="AD280" s="474"/>
      <c r="AE280" s="474"/>
      <c r="AF280" s="474"/>
      <c r="AG280" s="474"/>
      <c r="AH280" s="474"/>
      <c r="AI280" s="474"/>
      <c r="AJ280" s="474"/>
      <c r="AK280" s="474"/>
      <c r="AL280" s="474"/>
      <c r="AM280" s="474"/>
      <c r="AN280" s="474"/>
      <c r="AO280" s="474"/>
      <c r="AP280" s="474"/>
      <c r="AQ280" s="474"/>
      <c r="AR280" s="474"/>
      <c r="AS280" s="474"/>
      <c r="AT280" s="474"/>
      <c r="AU280" s="474"/>
      <c r="AV280" s="474"/>
      <c r="AW280" s="474"/>
      <c r="AX280" s="474"/>
      <c r="AY280" s="474"/>
      <c r="AZ280" s="474"/>
      <c r="BA280" s="474"/>
      <c r="BB280" s="474"/>
      <c r="BC280" s="474"/>
      <c r="BD280" s="474"/>
      <c r="BE280" s="474"/>
      <c r="BF280" s="474"/>
    </row>
    <row r="281" spans="1:58" s="475" customFormat="1" ht="25.2" customHeight="1">
      <c r="A281" s="473"/>
      <c r="B281" s="16" t="s">
        <v>818</v>
      </c>
      <c r="C281" s="16" t="s">
        <v>10</v>
      </c>
      <c r="D281" s="45" t="s">
        <v>957</v>
      </c>
      <c r="E281" s="16" t="s">
        <v>10</v>
      </c>
      <c r="F281" s="21" t="s">
        <v>956</v>
      </c>
      <c r="G281" s="173">
        <v>4</v>
      </c>
      <c r="H281" s="16" t="s">
        <v>41</v>
      </c>
      <c r="I281" s="19">
        <v>80.2</v>
      </c>
      <c r="J281" s="19">
        <f t="shared" si="50"/>
        <v>96.641000000000005</v>
      </c>
      <c r="K281" s="228">
        <f t="shared" si="51"/>
        <v>386.56400000000002</v>
      </c>
      <c r="L281" s="242">
        <f>K281/K275</f>
        <v>0.11012815099365941</v>
      </c>
      <c r="M281" s="258"/>
      <c r="N281" s="242"/>
      <c r="O281" s="474"/>
      <c r="P281" s="474"/>
      <c r="Q281" s="474"/>
      <c r="R281" s="474"/>
      <c r="S281" s="474"/>
      <c r="T281" s="474"/>
      <c r="U281" s="474"/>
      <c r="V281" s="474"/>
      <c r="W281" s="474"/>
      <c r="X281" s="474"/>
      <c r="Y281" s="474"/>
      <c r="Z281" s="474"/>
      <c r="AA281" s="474"/>
      <c r="AB281" s="474"/>
      <c r="AC281" s="474"/>
      <c r="AD281" s="474"/>
      <c r="AE281" s="474"/>
      <c r="AF281" s="474"/>
      <c r="AG281" s="474"/>
      <c r="AH281" s="474"/>
      <c r="AI281" s="474"/>
      <c r="AJ281" s="474"/>
      <c r="AK281" s="474"/>
      <c r="AL281" s="474"/>
      <c r="AM281" s="474"/>
      <c r="AN281" s="474"/>
      <c r="AO281" s="474"/>
      <c r="AP281" s="474"/>
      <c r="AQ281" s="474"/>
      <c r="AR281" s="474"/>
      <c r="AS281" s="474"/>
      <c r="AT281" s="474"/>
      <c r="AU281" s="474"/>
      <c r="AV281" s="474"/>
      <c r="AW281" s="474"/>
      <c r="AX281" s="474"/>
      <c r="AY281" s="474"/>
      <c r="AZ281" s="474"/>
      <c r="BA281" s="474"/>
      <c r="BB281" s="474"/>
      <c r="BC281" s="474"/>
      <c r="BD281" s="474"/>
      <c r="BE281" s="474"/>
      <c r="BF281" s="474"/>
    </row>
    <row r="282" spans="1:58" ht="25.2" customHeight="1">
      <c r="B282" s="2"/>
      <c r="C282" s="28"/>
      <c r="D282" s="168"/>
      <c r="E282" s="28"/>
      <c r="F282" s="190"/>
      <c r="G282" s="209"/>
      <c r="H282" s="2"/>
      <c r="I282" s="29"/>
      <c r="J282" s="212"/>
      <c r="K282" s="231"/>
    </row>
    <row r="283" spans="1:58" ht="25.2" customHeight="1">
      <c r="B283" s="26" t="s">
        <v>473</v>
      </c>
      <c r="C283" s="533" t="s">
        <v>61</v>
      </c>
      <c r="D283" s="533"/>
      <c r="E283" s="533"/>
      <c r="F283" s="533"/>
      <c r="G283" s="533"/>
      <c r="H283" s="533"/>
      <c r="I283" s="533"/>
      <c r="J283" s="533"/>
      <c r="K283" s="234">
        <f>SUM(K284:K286)</f>
        <v>13393.574999999999</v>
      </c>
      <c r="L283" s="240">
        <f>SUM(L284:L286)</f>
        <v>1.0000000000000002</v>
      </c>
      <c r="M283" s="256">
        <f>K283/K296</f>
        <v>0.10377293753037213</v>
      </c>
      <c r="N283" s="240">
        <f>K283/K398</f>
        <v>2.0608022673216164E-2</v>
      </c>
    </row>
    <row r="284" spans="1:58" s="475" customFormat="1" ht="25.2" customHeight="1">
      <c r="A284" s="473"/>
      <c r="B284" s="16" t="s">
        <v>819</v>
      </c>
      <c r="C284" s="16" t="s">
        <v>10</v>
      </c>
      <c r="D284" s="45">
        <v>97333</v>
      </c>
      <c r="E284" s="319"/>
      <c r="F284" s="21" t="s">
        <v>545</v>
      </c>
      <c r="G284" s="173">
        <v>50</v>
      </c>
      <c r="H284" s="16" t="s">
        <v>13</v>
      </c>
      <c r="I284" s="19">
        <v>39.450000000000003</v>
      </c>
      <c r="J284" s="19">
        <f>I284*$I$3+I284</f>
        <v>47.53725</v>
      </c>
      <c r="K284" s="228">
        <f>G284*J284</f>
        <v>2376.8625000000002</v>
      </c>
      <c r="L284" s="242">
        <f>K284/K283</f>
        <v>0.17746288798920382</v>
      </c>
      <c r="M284" s="258"/>
      <c r="N284" s="242"/>
      <c r="O284" s="474"/>
      <c r="P284" s="474"/>
      <c r="Q284" s="474"/>
      <c r="R284" s="474"/>
      <c r="S284" s="474"/>
      <c r="T284" s="474"/>
      <c r="U284" s="474"/>
      <c r="V284" s="474"/>
      <c r="W284" s="474"/>
      <c r="X284" s="474"/>
      <c r="Y284" s="474"/>
      <c r="Z284" s="474"/>
      <c r="AA284" s="474"/>
      <c r="AB284" s="474"/>
      <c r="AC284" s="474"/>
      <c r="AD284" s="474"/>
      <c r="AE284" s="474"/>
      <c r="AF284" s="474"/>
      <c r="AG284" s="474"/>
      <c r="AH284" s="474"/>
      <c r="AI284" s="474"/>
      <c r="AJ284" s="474"/>
      <c r="AK284" s="474"/>
      <c r="AL284" s="474"/>
      <c r="AM284" s="474"/>
      <c r="AN284" s="474"/>
      <c r="AO284" s="474"/>
      <c r="AP284" s="474"/>
      <c r="AQ284" s="474"/>
      <c r="AR284" s="474"/>
      <c r="AS284" s="474"/>
      <c r="AT284" s="474"/>
      <c r="AU284" s="474"/>
      <c r="AV284" s="474"/>
      <c r="AW284" s="474"/>
      <c r="AX284" s="474"/>
      <c r="AY284" s="474"/>
      <c r="AZ284" s="474"/>
      <c r="BA284" s="474"/>
      <c r="BB284" s="474"/>
      <c r="BC284" s="474"/>
      <c r="BD284" s="474"/>
      <c r="BE284" s="474"/>
      <c r="BF284" s="474"/>
    </row>
    <row r="285" spans="1:58" s="475" customFormat="1" ht="25.2" customHeight="1">
      <c r="A285" s="473"/>
      <c r="B285" s="16" t="s">
        <v>820</v>
      </c>
      <c r="C285" s="22" t="s">
        <v>231</v>
      </c>
      <c r="D285" s="180" t="s">
        <v>207</v>
      </c>
      <c r="E285" s="22"/>
      <c r="F285" s="21" t="s">
        <v>549</v>
      </c>
      <c r="G285" s="173">
        <v>3</v>
      </c>
      <c r="H285" s="16" t="s">
        <v>41</v>
      </c>
      <c r="I285" s="19">
        <f>Cotação!E197</f>
        <v>1889.55</v>
      </c>
      <c r="J285" s="19">
        <f>I285*$I$3+I285</f>
        <v>2276.9077499999999</v>
      </c>
      <c r="K285" s="228">
        <f>G285*J285</f>
        <v>6830.7232499999991</v>
      </c>
      <c r="L285" s="242">
        <f>K285/K283</f>
        <v>0.51</v>
      </c>
      <c r="M285" s="258"/>
      <c r="N285" s="242"/>
      <c r="O285" s="474"/>
      <c r="P285" s="474"/>
      <c r="Q285" s="474"/>
      <c r="R285" s="474"/>
      <c r="S285" s="474"/>
      <c r="T285" s="474"/>
      <c r="U285" s="474"/>
      <c r="V285" s="474"/>
      <c r="W285" s="474"/>
      <c r="X285" s="474"/>
      <c r="Y285" s="474"/>
      <c r="Z285" s="474"/>
      <c r="AA285" s="474"/>
      <c r="AB285" s="474"/>
      <c r="AC285" s="474"/>
      <c r="AD285" s="474"/>
      <c r="AE285" s="474"/>
      <c r="AF285" s="474"/>
      <c r="AG285" s="474"/>
      <c r="AH285" s="474"/>
      <c r="AI285" s="474"/>
      <c r="AJ285" s="474"/>
      <c r="AK285" s="474"/>
      <c r="AL285" s="474"/>
      <c r="AM285" s="474"/>
      <c r="AN285" s="474"/>
      <c r="AO285" s="474"/>
      <c r="AP285" s="474"/>
      <c r="AQ285" s="474"/>
      <c r="AR285" s="474"/>
      <c r="AS285" s="474"/>
      <c r="AT285" s="474"/>
      <c r="AU285" s="474"/>
      <c r="AV285" s="474"/>
      <c r="AW285" s="474"/>
      <c r="AX285" s="474"/>
      <c r="AY285" s="474"/>
      <c r="AZ285" s="474"/>
      <c r="BA285" s="474"/>
      <c r="BB285" s="474"/>
      <c r="BC285" s="474"/>
      <c r="BD285" s="474"/>
      <c r="BE285" s="474"/>
      <c r="BF285" s="474"/>
    </row>
    <row r="286" spans="1:58" s="475" customFormat="1" ht="25.2" customHeight="1">
      <c r="A286" s="473"/>
      <c r="B286" s="16" t="s">
        <v>821</v>
      </c>
      <c r="C286" s="22" t="s">
        <v>231</v>
      </c>
      <c r="D286" s="180" t="s">
        <v>208</v>
      </c>
      <c r="E286" s="22"/>
      <c r="F286" s="21" t="s">
        <v>548</v>
      </c>
      <c r="G286" s="173">
        <v>3</v>
      </c>
      <c r="H286" s="16" t="s">
        <v>41</v>
      </c>
      <c r="I286" s="19">
        <f>Cotação!E203</f>
        <v>1157.95</v>
      </c>
      <c r="J286" s="19">
        <f>I286*$I$3+I286</f>
        <v>1395.3297500000001</v>
      </c>
      <c r="K286" s="228">
        <f>G286*J286</f>
        <v>4185.9892500000005</v>
      </c>
      <c r="L286" s="242">
        <f>K286/K283</f>
        <v>0.31253711201079631</v>
      </c>
      <c r="M286" s="258"/>
      <c r="N286" s="242"/>
      <c r="O286" s="474"/>
      <c r="P286" s="474"/>
      <c r="Q286" s="474"/>
      <c r="R286" s="474"/>
      <c r="S286" s="474"/>
      <c r="T286" s="474"/>
      <c r="U286" s="474"/>
      <c r="V286" s="474"/>
      <c r="W286" s="474"/>
      <c r="X286" s="474"/>
      <c r="Y286" s="474"/>
      <c r="Z286" s="474"/>
      <c r="AA286" s="474"/>
      <c r="AB286" s="474"/>
      <c r="AC286" s="474"/>
      <c r="AD286" s="474"/>
      <c r="AE286" s="474"/>
      <c r="AF286" s="474"/>
      <c r="AG286" s="474"/>
      <c r="AH286" s="474"/>
      <c r="AI286" s="474"/>
      <c r="AJ286" s="474"/>
      <c r="AK286" s="474"/>
      <c r="AL286" s="474"/>
      <c r="AM286" s="474"/>
      <c r="AN286" s="474"/>
      <c r="AO286" s="474"/>
      <c r="AP286" s="474"/>
      <c r="AQ286" s="474"/>
      <c r="AR286" s="474"/>
      <c r="AS286" s="474"/>
      <c r="AT286" s="474"/>
      <c r="AU286" s="474"/>
      <c r="AV286" s="474"/>
      <c r="AW286" s="474"/>
      <c r="AX286" s="474"/>
      <c r="AY286" s="474"/>
      <c r="AZ286" s="474"/>
      <c r="BA286" s="474"/>
      <c r="BB286" s="474"/>
      <c r="BC286" s="474"/>
      <c r="BD286" s="474"/>
      <c r="BE286" s="474"/>
      <c r="BF286" s="474"/>
    </row>
    <row r="287" spans="1:58" customFormat="1" ht="25.2" customHeight="1">
      <c r="B287" s="495"/>
      <c r="C287" s="495"/>
      <c r="D287" s="495"/>
      <c r="E287" s="495"/>
      <c r="F287" s="495"/>
      <c r="G287" s="495"/>
      <c r="H287" s="495"/>
      <c r="I287" s="495"/>
      <c r="J287" s="495"/>
      <c r="K287" s="495"/>
      <c r="L287" s="495"/>
      <c r="M287" s="495"/>
      <c r="N287" s="495"/>
    </row>
    <row r="288" spans="1:58" ht="25.2" customHeight="1">
      <c r="B288" s="26" t="s">
        <v>626</v>
      </c>
      <c r="C288" s="533" t="s">
        <v>627</v>
      </c>
      <c r="D288" s="533"/>
      <c r="E288" s="533"/>
      <c r="F288" s="533"/>
      <c r="G288" s="533"/>
      <c r="H288" s="533"/>
      <c r="I288" s="533"/>
      <c r="J288" s="533"/>
      <c r="K288" s="234">
        <f>SUM(K289:K294)</f>
        <v>82743.168649999992</v>
      </c>
      <c r="L288" s="240">
        <f>SUM(L289:L294)</f>
        <v>1</v>
      </c>
      <c r="M288" s="256">
        <f>K288/K296</f>
        <v>0.64109109564709166</v>
      </c>
      <c r="N288" s="240">
        <f>K288/K398</f>
        <v>0.12731276717328638</v>
      </c>
    </row>
    <row r="289" spans="1:58" s="483" customFormat="1" ht="25.2" customHeight="1">
      <c r="A289" s="481"/>
      <c r="B289" s="35" t="s">
        <v>822</v>
      </c>
      <c r="C289" s="31" t="s">
        <v>10</v>
      </c>
      <c r="D289" s="40" t="s">
        <v>538</v>
      </c>
      <c r="E289" s="31"/>
      <c r="F289" s="33" t="s">
        <v>606</v>
      </c>
      <c r="G289" s="174">
        <v>80</v>
      </c>
      <c r="H289" s="31" t="s">
        <v>13</v>
      </c>
      <c r="I289" s="34">
        <v>6.36</v>
      </c>
      <c r="J289" s="34">
        <f>I289*$I$3+I289</f>
        <v>7.6638000000000002</v>
      </c>
      <c r="K289" s="233">
        <f>G289*J289</f>
        <v>613.10400000000004</v>
      </c>
      <c r="L289" s="285">
        <f>K289/K288</f>
        <v>7.4097234853719865E-3</v>
      </c>
      <c r="M289" s="282"/>
      <c r="N289" s="285"/>
      <c r="O289" s="482"/>
      <c r="P289" s="482"/>
      <c r="Q289" s="482"/>
      <c r="R289" s="482"/>
      <c r="S289" s="482"/>
      <c r="T289" s="482"/>
      <c r="U289" s="482"/>
      <c r="V289" s="482"/>
      <c r="W289" s="482"/>
      <c r="X289" s="482"/>
      <c r="Y289" s="482"/>
      <c r="Z289" s="482"/>
      <c r="AA289" s="482"/>
      <c r="AB289" s="482"/>
      <c r="AC289" s="482"/>
      <c r="AD289" s="482"/>
      <c r="AE289" s="482"/>
      <c r="AF289" s="482"/>
      <c r="AG289" s="482"/>
      <c r="AH289" s="482"/>
      <c r="AI289" s="482"/>
      <c r="AJ289" s="482"/>
      <c r="AK289" s="482"/>
      <c r="AL289" s="482"/>
      <c r="AM289" s="482"/>
      <c r="AN289" s="482"/>
      <c r="AO289" s="482"/>
      <c r="AP289" s="482"/>
      <c r="AQ289" s="482"/>
      <c r="AR289" s="482"/>
      <c r="AS289" s="482"/>
      <c r="AT289" s="482"/>
      <c r="AU289" s="482"/>
      <c r="AV289" s="482"/>
      <c r="AW289" s="482"/>
      <c r="AX289" s="482"/>
      <c r="AY289" s="482"/>
      <c r="AZ289" s="482"/>
      <c r="BA289" s="482"/>
      <c r="BB289" s="482"/>
      <c r="BC289" s="482"/>
      <c r="BD289" s="482"/>
      <c r="BE289" s="482"/>
      <c r="BF289" s="482"/>
    </row>
    <row r="290" spans="1:58" s="483" customFormat="1" ht="25.2" customHeight="1">
      <c r="A290" s="481"/>
      <c r="B290" s="35" t="s">
        <v>823</v>
      </c>
      <c r="C290" s="35" t="s">
        <v>231</v>
      </c>
      <c r="D290" s="44" t="s">
        <v>209</v>
      </c>
      <c r="E290" s="35"/>
      <c r="F290" s="33" t="s">
        <v>628</v>
      </c>
      <c r="G290" s="174">
        <v>9</v>
      </c>
      <c r="H290" s="31" t="s">
        <v>41</v>
      </c>
      <c r="I290" s="34">
        <f>Cotação!E209</f>
        <v>2760</v>
      </c>
      <c r="J290" s="34">
        <f t="shared" ref="J290:J292" si="54">I290*$I$3+I290</f>
        <v>3325.8</v>
      </c>
      <c r="K290" s="233">
        <f t="shared" ref="K290:K292" si="55">G290*J290</f>
        <v>29932.2</v>
      </c>
      <c r="L290" s="285">
        <f>K290/K288</f>
        <v>0.36174829280000026</v>
      </c>
      <c r="M290" s="282"/>
      <c r="N290" s="285"/>
      <c r="O290" s="482"/>
      <c r="P290" s="482"/>
      <c r="Q290" s="482"/>
      <c r="R290" s="482"/>
      <c r="S290" s="482"/>
      <c r="T290" s="482"/>
      <c r="U290" s="482"/>
      <c r="V290" s="482"/>
      <c r="W290" s="482"/>
      <c r="X290" s="482"/>
      <c r="Y290" s="482"/>
      <c r="Z290" s="482"/>
      <c r="AA290" s="482"/>
      <c r="AB290" s="482"/>
      <c r="AC290" s="482"/>
      <c r="AD290" s="482"/>
      <c r="AE290" s="482"/>
      <c r="AF290" s="482"/>
      <c r="AG290" s="482"/>
      <c r="AH290" s="482"/>
      <c r="AI290" s="482"/>
      <c r="AJ290" s="482"/>
      <c r="AK290" s="482"/>
      <c r="AL290" s="482"/>
      <c r="AM290" s="482"/>
      <c r="AN290" s="482"/>
      <c r="AO290" s="482"/>
      <c r="AP290" s="482"/>
      <c r="AQ290" s="482"/>
      <c r="AR290" s="482"/>
      <c r="AS290" s="482"/>
      <c r="AT290" s="482"/>
      <c r="AU290" s="482"/>
      <c r="AV290" s="482"/>
      <c r="AW290" s="482"/>
      <c r="AX290" s="482"/>
      <c r="AY290" s="482"/>
      <c r="AZ290" s="482"/>
      <c r="BA290" s="482"/>
      <c r="BB290" s="482"/>
      <c r="BC290" s="482"/>
      <c r="BD290" s="482"/>
      <c r="BE290" s="482"/>
      <c r="BF290" s="482"/>
    </row>
    <row r="291" spans="1:58" s="483" customFormat="1" ht="25.2" customHeight="1">
      <c r="A291" s="481"/>
      <c r="B291" s="35" t="s">
        <v>824</v>
      </c>
      <c r="C291" s="31" t="s">
        <v>235</v>
      </c>
      <c r="D291" s="44" t="s">
        <v>210</v>
      </c>
      <c r="E291" s="35"/>
      <c r="F291" s="33" t="s">
        <v>632</v>
      </c>
      <c r="G291" s="174">
        <v>36</v>
      </c>
      <c r="H291" s="31" t="s">
        <v>41</v>
      </c>
      <c r="I291" s="34">
        <f>Cotação!E216</f>
        <v>706.41</v>
      </c>
      <c r="J291" s="34">
        <f t="shared" si="54"/>
        <v>851.22404999999992</v>
      </c>
      <c r="K291" s="233">
        <f t="shared" si="55"/>
        <v>30644.065799999997</v>
      </c>
      <c r="L291" s="285">
        <f>K291/K288</f>
        <v>0.37035161089398283</v>
      </c>
      <c r="M291" s="282"/>
      <c r="N291" s="285"/>
      <c r="O291" s="482"/>
      <c r="P291" s="482"/>
      <c r="Q291" s="482"/>
      <c r="R291" s="482"/>
      <c r="S291" s="482"/>
      <c r="T291" s="482"/>
      <c r="U291" s="482"/>
      <c r="V291" s="482"/>
      <c r="W291" s="482"/>
      <c r="X291" s="482"/>
      <c r="Y291" s="482"/>
      <c r="Z291" s="482"/>
      <c r="AA291" s="482"/>
      <c r="AB291" s="482"/>
      <c r="AC291" s="482"/>
      <c r="AD291" s="482"/>
      <c r="AE291" s="482"/>
      <c r="AF291" s="482"/>
      <c r="AG291" s="482"/>
      <c r="AH291" s="482"/>
      <c r="AI291" s="482"/>
      <c r="AJ291" s="482"/>
      <c r="AK291" s="482"/>
      <c r="AL291" s="482"/>
      <c r="AM291" s="482"/>
      <c r="AN291" s="482"/>
      <c r="AO291" s="482"/>
      <c r="AP291" s="482"/>
      <c r="AQ291" s="482"/>
      <c r="AR291" s="482"/>
      <c r="AS291" s="482"/>
      <c r="AT291" s="482"/>
      <c r="AU291" s="482"/>
      <c r="AV291" s="482"/>
      <c r="AW291" s="482"/>
      <c r="AX291" s="482"/>
      <c r="AY291" s="482"/>
      <c r="AZ291" s="482"/>
      <c r="BA291" s="482"/>
      <c r="BB291" s="482"/>
      <c r="BC291" s="482"/>
      <c r="BD291" s="482"/>
      <c r="BE291" s="482"/>
      <c r="BF291" s="482"/>
    </row>
    <row r="292" spans="1:58" s="483" customFormat="1" ht="25.2" customHeight="1">
      <c r="A292" s="481"/>
      <c r="B292" s="35" t="s">
        <v>825</v>
      </c>
      <c r="C292" s="35" t="s">
        <v>231</v>
      </c>
      <c r="D292" s="44" t="s">
        <v>211</v>
      </c>
      <c r="E292" s="35"/>
      <c r="F292" s="33" t="s">
        <v>635</v>
      </c>
      <c r="G292" s="174">
        <v>36</v>
      </c>
      <c r="H292" s="31" t="s">
        <v>41</v>
      </c>
      <c r="I292" s="34">
        <f>Cotação!E223</f>
        <v>155</v>
      </c>
      <c r="J292" s="34">
        <f t="shared" si="54"/>
        <v>186.77500000000001</v>
      </c>
      <c r="K292" s="233">
        <f t="shared" si="55"/>
        <v>6723.9000000000005</v>
      </c>
      <c r="L292" s="285">
        <f>K292/K288</f>
        <v>8.1262297657971078E-2</v>
      </c>
      <c r="M292" s="282"/>
      <c r="N292" s="285"/>
      <c r="O292" s="482"/>
      <c r="P292" s="482"/>
      <c r="Q292" s="482"/>
      <c r="R292" s="482"/>
      <c r="S292" s="482"/>
      <c r="T292" s="482"/>
      <c r="U292" s="482"/>
      <c r="V292" s="482"/>
      <c r="W292" s="482"/>
      <c r="X292" s="482"/>
      <c r="Y292" s="482"/>
      <c r="Z292" s="482"/>
      <c r="AA292" s="482"/>
      <c r="AB292" s="482"/>
      <c r="AC292" s="482"/>
      <c r="AD292" s="482"/>
      <c r="AE292" s="482"/>
      <c r="AF292" s="482"/>
      <c r="AG292" s="482"/>
      <c r="AH292" s="482"/>
      <c r="AI292" s="482"/>
      <c r="AJ292" s="482"/>
      <c r="AK292" s="482"/>
      <c r="AL292" s="482"/>
      <c r="AM292" s="482"/>
      <c r="AN292" s="482"/>
      <c r="AO292" s="482"/>
      <c r="AP292" s="482"/>
      <c r="AQ292" s="482"/>
      <c r="AR292" s="482"/>
      <c r="AS292" s="482"/>
      <c r="AT292" s="482"/>
      <c r="AU292" s="482"/>
      <c r="AV292" s="482"/>
      <c r="AW292" s="482"/>
      <c r="AX292" s="482"/>
      <c r="AY292" s="482"/>
      <c r="AZ292" s="482"/>
      <c r="BA292" s="482"/>
      <c r="BB292" s="482"/>
      <c r="BC292" s="482"/>
      <c r="BD292" s="482"/>
      <c r="BE292" s="482"/>
      <c r="BF292" s="482"/>
    </row>
    <row r="293" spans="1:58" s="483" customFormat="1" ht="25.2" customHeight="1">
      <c r="A293" s="481"/>
      <c r="B293" s="35" t="s">
        <v>826</v>
      </c>
      <c r="C293" s="35" t="s">
        <v>231</v>
      </c>
      <c r="D293" s="44" t="s">
        <v>212</v>
      </c>
      <c r="E293" s="35"/>
      <c r="F293" s="33" t="s">
        <v>641</v>
      </c>
      <c r="G293" s="174">
        <v>1</v>
      </c>
      <c r="H293" s="31" t="s">
        <v>41</v>
      </c>
      <c r="I293" s="34">
        <v>10000</v>
      </c>
      <c r="J293" s="34">
        <f>I293*$I$3+I293</f>
        <v>12050</v>
      </c>
      <c r="K293" s="233">
        <f>G293*J293</f>
        <v>12050</v>
      </c>
      <c r="L293" s="285">
        <f>K293/K288</f>
        <v>0.14563135780998401</v>
      </c>
      <c r="M293" s="282"/>
      <c r="N293" s="285"/>
      <c r="O293" s="482"/>
      <c r="P293" s="482"/>
      <c r="Q293" s="482"/>
      <c r="R293" s="482"/>
      <c r="S293" s="482"/>
      <c r="T293" s="482"/>
      <c r="U293" s="482"/>
      <c r="V293" s="482"/>
      <c r="W293" s="482"/>
      <c r="X293" s="482"/>
      <c r="Y293" s="482"/>
      <c r="Z293" s="482"/>
      <c r="AA293" s="482"/>
      <c r="AB293" s="482"/>
      <c r="AC293" s="482"/>
      <c r="AD293" s="482"/>
      <c r="AE293" s="482"/>
      <c r="AF293" s="482"/>
      <c r="AG293" s="482"/>
      <c r="AH293" s="482"/>
      <c r="AI293" s="482"/>
      <c r="AJ293" s="482"/>
      <c r="AK293" s="482"/>
      <c r="AL293" s="482"/>
      <c r="AM293" s="482"/>
      <c r="AN293" s="482"/>
      <c r="AO293" s="482"/>
      <c r="AP293" s="482"/>
      <c r="AQ293" s="482"/>
      <c r="AR293" s="482"/>
      <c r="AS293" s="482"/>
      <c r="AT293" s="482"/>
      <c r="AU293" s="482"/>
      <c r="AV293" s="482"/>
      <c r="AW293" s="482"/>
      <c r="AX293" s="482"/>
      <c r="AY293" s="482"/>
      <c r="AZ293" s="482"/>
      <c r="BA293" s="482"/>
      <c r="BB293" s="482"/>
      <c r="BC293" s="482"/>
      <c r="BD293" s="482"/>
      <c r="BE293" s="482"/>
      <c r="BF293" s="482"/>
    </row>
    <row r="294" spans="1:58" s="483" customFormat="1" ht="25.2" customHeight="1">
      <c r="A294" s="481"/>
      <c r="B294" s="35" t="s">
        <v>827</v>
      </c>
      <c r="C294" s="35" t="s">
        <v>231</v>
      </c>
      <c r="D294" s="44" t="s">
        <v>213</v>
      </c>
      <c r="E294" s="35"/>
      <c r="F294" s="33" t="s">
        <v>638</v>
      </c>
      <c r="G294" s="174">
        <v>3</v>
      </c>
      <c r="H294" s="31" t="s">
        <v>41</v>
      </c>
      <c r="I294" s="34">
        <f>Cotação!E233</f>
        <v>768.99</v>
      </c>
      <c r="J294" s="34">
        <f>I294*$I$3+I294</f>
        <v>926.63294999999994</v>
      </c>
      <c r="K294" s="233">
        <f>G294*J294</f>
        <v>2779.8988499999996</v>
      </c>
      <c r="L294" s="285">
        <f>K294/K288</f>
        <v>3.3596717352689875E-2</v>
      </c>
      <c r="M294" s="282"/>
      <c r="N294" s="285"/>
      <c r="O294" s="482"/>
      <c r="P294" s="482"/>
      <c r="Q294" s="482"/>
      <c r="R294" s="482"/>
      <c r="S294" s="482"/>
      <c r="T294" s="482"/>
      <c r="U294" s="482"/>
      <c r="V294" s="482"/>
      <c r="W294" s="482"/>
      <c r="X294" s="482"/>
      <c r="Y294" s="482"/>
      <c r="Z294" s="482"/>
      <c r="AA294" s="482"/>
      <c r="AB294" s="482"/>
      <c r="AC294" s="482"/>
      <c r="AD294" s="482"/>
      <c r="AE294" s="482"/>
      <c r="AF294" s="482"/>
      <c r="AG294" s="482"/>
      <c r="AH294" s="482"/>
      <c r="AI294" s="482"/>
      <c r="AJ294" s="482"/>
      <c r="AK294" s="482"/>
      <c r="AL294" s="482"/>
      <c r="AM294" s="482"/>
      <c r="AN294" s="482"/>
      <c r="AO294" s="482"/>
      <c r="AP294" s="482"/>
      <c r="AQ294" s="482"/>
      <c r="AR294" s="482"/>
      <c r="AS294" s="482"/>
      <c r="AT294" s="482"/>
      <c r="AU294" s="482"/>
      <c r="AV294" s="482"/>
      <c r="AW294" s="482"/>
      <c r="AX294" s="482"/>
      <c r="AY294" s="482"/>
      <c r="AZ294" s="482"/>
      <c r="BA294" s="482"/>
      <c r="BB294" s="482"/>
      <c r="BC294" s="482"/>
      <c r="BD294" s="482"/>
      <c r="BE294" s="482"/>
      <c r="BF294" s="482"/>
    </row>
    <row r="295" spans="1:58" customFormat="1" ht="25.2" customHeight="1" thickBot="1">
      <c r="B295" s="495"/>
      <c r="C295" s="495"/>
      <c r="D295" s="495"/>
      <c r="E295" s="495"/>
      <c r="F295" s="495"/>
      <c r="G295" s="495"/>
      <c r="H295" s="495"/>
      <c r="I295" s="495"/>
      <c r="J295" s="495"/>
      <c r="K295" s="495"/>
      <c r="L295" s="495"/>
      <c r="M295" s="495"/>
      <c r="N295" s="495"/>
    </row>
    <row r="296" spans="1:58" ht="25.2" customHeight="1" thickBot="1">
      <c r="B296" s="535" t="s">
        <v>448</v>
      </c>
      <c r="C296" s="536"/>
      <c r="D296" s="536"/>
      <c r="E296" s="536"/>
      <c r="F296" s="536"/>
      <c r="G296" s="536"/>
      <c r="H296" s="536"/>
      <c r="I296" s="536"/>
      <c r="J296" s="536"/>
      <c r="K296" s="232">
        <f>SUM(K283,K275,K263,K253,K236,K229,K216,K210,K288)</f>
        <v>129066.16425</v>
      </c>
      <c r="L296" s="243"/>
      <c r="M296" s="260">
        <f>SUM(M210:M295)</f>
        <v>1</v>
      </c>
      <c r="N296" s="311">
        <f>SUM(N210:N295)</f>
        <v>0.19858763916348263</v>
      </c>
    </row>
    <row r="297" spans="1:58" ht="25.2" customHeight="1" thickBot="1">
      <c r="B297" s="2"/>
      <c r="C297" s="28"/>
      <c r="D297" s="168"/>
      <c r="E297" s="28"/>
      <c r="F297" s="190"/>
      <c r="G297" s="212"/>
      <c r="H297" s="2"/>
      <c r="I297" s="29"/>
      <c r="J297" s="29"/>
      <c r="K297" s="231"/>
      <c r="L297" s="238"/>
      <c r="M297" s="254"/>
      <c r="N297" s="238"/>
    </row>
    <row r="298" spans="1:58" s="13" customFormat="1" ht="25.2" customHeight="1" thickBot="1">
      <c r="A298" s="14"/>
      <c r="B298" s="192">
        <v>8</v>
      </c>
      <c r="C298" s="529" t="s">
        <v>64</v>
      </c>
      <c r="D298" s="529"/>
      <c r="E298" s="529"/>
      <c r="F298" s="529"/>
      <c r="G298" s="529"/>
      <c r="H298" s="529"/>
      <c r="I298" s="529"/>
      <c r="J298" s="529"/>
      <c r="K298" s="529"/>
      <c r="L298" s="529"/>
      <c r="M298" s="529"/>
      <c r="N298" s="534"/>
    </row>
    <row r="299" spans="1:58" customFormat="1" ht="25.2" customHeight="1">
      <c r="B299" s="494"/>
      <c r="C299" s="495"/>
      <c r="D299" s="496"/>
      <c r="E299" s="495"/>
      <c r="F299" s="495"/>
      <c r="G299" s="498"/>
      <c r="H299" s="495"/>
      <c r="I299" s="495"/>
      <c r="J299" s="495"/>
      <c r="K299" s="495"/>
      <c r="L299" s="496"/>
      <c r="M299" s="496"/>
      <c r="N299" s="501"/>
    </row>
    <row r="300" spans="1:58" ht="25.2" customHeight="1">
      <c r="B300" s="26" t="s">
        <v>29</v>
      </c>
      <c r="C300" s="533" t="s">
        <v>30</v>
      </c>
      <c r="D300" s="533"/>
      <c r="E300" s="533"/>
      <c r="F300" s="533"/>
      <c r="G300" s="533"/>
      <c r="H300" s="533"/>
      <c r="I300" s="533"/>
      <c r="J300" s="533"/>
      <c r="K300" s="234">
        <f>SUM(K301:K310)</f>
        <v>74604.50224999999</v>
      </c>
      <c r="L300" s="240">
        <f>SUM(L301:L310)</f>
        <v>1</v>
      </c>
      <c r="M300" s="256">
        <f>K300/K331</f>
        <v>0.60336199372929866</v>
      </c>
      <c r="N300" s="240">
        <f>K300/K398</f>
        <v>0.11479020902873253</v>
      </c>
    </row>
    <row r="301" spans="1:58" s="32" customFormat="1" ht="25.2" customHeight="1">
      <c r="A301" s="14"/>
      <c r="B301" s="22" t="s">
        <v>828</v>
      </c>
      <c r="C301" s="35" t="s">
        <v>10</v>
      </c>
      <c r="D301" s="44">
        <v>87879</v>
      </c>
      <c r="E301" s="35" t="s">
        <v>10</v>
      </c>
      <c r="F301" s="33" t="s">
        <v>146</v>
      </c>
      <c r="G301" s="174">
        <v>1200</v>
      </c>
      <c r="H301" s="35" t="s">
        <v>15</v>
      </c>
      <c r="I301" s="34">
        <v>3.32</v>
      </c>
      <c r="J301" s="34">
        <f t="shared" ref="J301:J308" si="56">I301*$I$3+I301</f>
        <v>4.0005999999999995</v>
      </c>
      <c r="K301" s="233">
        <f t="shared" ref="K301:K308" si="57">G301*J301</f>
        <v>4800.7199999999993</v>
      </c>
      <c r="L301" s="285">
        <f>K301/K300</f>
        <v>6.4348931434630677E-2</v>
      </c>
      <c r="M301" s="282"/>
      <c r="N301" s="285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177"/>
      <c r="AB301" s="177"/>
      <c r="AC301" s="177"/>
      <c r="AD301" s="177"/>
      <c r="AE301" s="177"/>
      <c r="AF301" s="177"/>
      <c r="AG301" s="177"/>
      <c r="AH301" s="177"/>
      <c r="AI301" s="177"/>
      <c r="AJ301" s="177"/>
      <c r="AK301" s="177"/>
      <c r="AL301" s="177"/>
      <c r="AM301" s="177"/>
      <c r="AN301" s="177"/>
      <c r="AO301" s="177"/>
      <c r="AP301" s="177"/>
      <c r="AQ301" s="177"/>
      <c r="AR301" s="177"/>
      <c r="AS301" s="177"/>
      <c r="AT301" s="177"/>
      <c r="AU301" s="177"/>
      <c r="AV301" s="177"/>
      <c r="AW301" s="177"/>
      <c r="AX301" s="177"/>
      <c r="AY301" s="177"/>
      <c r="AZ301" s="177"/>
      <c r="BA301" s="177"/>
      <c r="BB301" s="177"/>
      <c r="BC301" s="177"/>
      <c r="BD301" s="177"/>
      <c r="BE301" s="177"/>
      <c r="BF301" s="177"/>
    </row>
    <row r="302" spans="1:58" s="32" customFormat="1" ht="25.2" customHeight="1">
      <c r="A302" s="14"/>
      <c r="B302" s="22" t="s">
        <v>829</v>
      </c>
      <c r="C302" s="35" t="s">
        <v>10</v>
      </c>
      <c r="D302" s="44">
        <v>87775</v>
      </c>
      <c r="E302" s="35" t="s">
        <v>10</v>
      </c>
      <c r="F302" s="33" t="s">
        <v>147</v>
      </c>
      <c r="G302" s="174">
        <v>600</v>
      </c>
      <c r="H302" s="35" t="s">
        <v>15</v>
      </c>
      <c r="I302" s="34">
        <v>43.86</v>
      </c>
      <c r="J302" s="34">
        <f t="shared" si="56"/>
        <v>52.851299999999995</v>
      </c>
      <c r="K302" s="233">
        <f t="shared" si="57"/>
        <v>31710.779999999995</v>
      </c>
      <c r="L302" s="285">
        <f>K302/K300</f>
        <v>0.42505182721730445</v>
      </c>
      <c r="M302" s="282"/>
      <c r="N302" s="285"/>
      <c r="O302" s="177"/>
      <c r="P302" s="177"/>
      <c r="Q302" s="177"/>
      <c r="R302" s="177"/>
      <c r="S302" s="177"/>
      <c r="T302" s="177"/>
      <c r="U302" s="177"/>
      <c r="V302" s="177"/>
      <c r="W302" s="177"/>
      <c r="X302" s="177"/>
      <c r="Y302" s="177"/>
      <c r="Z302" s="177"/>
      <c r="AA302" s="177"/>
      <c r="AB302" s="177"/>
      <c r="AC302" s="177"/>
      <c r="AD302" s="177"/>
      <c r="AE302" s="177"/>
      <c r="AF302" s="177"/>
      <c r="AG302" s="177"/>
      <c r="AH302" s="177"/>
      <c r="AI302" s="177"/>
      <c r="AJ302" s="177"/>
      <c r="AK302" s="177"/>
      <c r="AL302" s="177"/>
      <c r="AM302" s="177"/>
      <c r="AN302" s="177"/>
      <c r="AO302" s="177"/>
      <c r="AP302" s="177"/>
      <c r="AQ302" s="177"/>
      <c r="AR302" s="177"/>
      <c r="AS302" s="177"/>
      <c r="AT302" s="177"/>
      <c r="AU302" s="177"/>
      <c r="AV302" s="177"/>
      <c r="AW302" s="177"/>
      <c r="AX302" s="177"/>
      <c r="AY302" s="177"/>
      <c r="AZ302" s="177"/>
      <c r="BA302" s="177"/>
      <c r="BB302" s="177"/>
      <c r="BC302" s="177"/>
      <c r="BD302" s="177"/>
      <c r="BE302" s="177"/>
      <c r="BF302" s="177"/>
    </row>
    <row r="303" spans="1:58" s="32" customFormat="1" ht="25.2" customHeight="1">
      <c r="A303" s="14"/>
      <c r="B303" s="22" t="s">
        <v>830</v>
      </c>
      <c r="C303" s="35" t="s">
        <v>10</v>
      </c>
      <c r="D303" s="44">
        <v>87529</v>
      </c>
      <c r="E303" s="35"/>
      <c r="F303" s="33" t="s">
        <v>161</v>
      </c>
      <c r="G303" s="174">
        <v>600</v>
      </c>
      <c r="H303" s="35" t="s">
        <v>15</v>
      </c>
      <c r="I303" s="34">
        <v>26.78</v>
      </c>
      <c r="J303" s="34">
        <f t="shared" si="56"/>
        <v>32.2699</v>
      </c>
      <c r="K303" s="233">
        <f t="shared" si="57"/>
        <v>19361.939999999999</v>
      </c>
      <c r="L303" s="285">
        <f>K303/K300</f>
        <v>0.25952776864750143</v>
      </c>
      <c r="M303" s="282"/>
      <c r="N303" s="285"/>
      <c r="O303" s="177"/>
      <c r="P303" s="177"/>
      <c r="Q303" s="177"/>
      <c r="R303" s="177"/>
      <c r="S303" s="177"/>
      <c r="T303" s="177"/>
      <c r="U303" s="177"/>
      <c r="V303" s="177"/>
      <c r="W303" s="177"/>
      <c r="X303" s="177"/>
      <c r="Y303" s="177"/>
      <c r="Z303" s="177"/>
      <c r="AA303" s="177"/>
      <c r="AB303" s="177"/>
      <c r="AC303" s="177"/>
      <c r="AD303" s="177"/>
      <c r="AE303" s="177"/>
      <c r="AF303" s="177"/>
      <c r="AG303" s="177"/>
      <c r="AH303" s="177"/>
      <c r="AI303" s="177"/>
      <c r="AJ303" s="177"/>
      <c r="AK303" s="177"/>
      <c r="AL303" s="177"/>
      <c r="AM303" s="177"/>
      <c r="AN303" s="177"/>
      <c r="AO303" s="177"/>
      <c r="AP303" s="177"/>
      <c r="AQ303" s="177"/>
      <c r="AR303" s="177"/>
      <c r="AS303" s="177"/>
      <c r="AT303" s="177"/>
      <c r="AU303" s="177"/>
      <c r="AV303" s="177"/>
      <c r="AW303" s="177"/>
      <c r="AX303" s="177"/>
      <c r="AY303" s="177"/>
      <c r="AZ303" s="177"/>
      <c r="BA303" s="177"/>
      <c r="BB303" s="177"/>
      <c r="BC303" s="177"/>
      <c r="BD303" s="177"/>
      <c r="BE303" s="177"/>
      <c r="BF303" s="177"/>
    </row>
    <row r="304" spans="1:58" s="32" customFormat="1" ht="25.2" customHeight="1">
      <c r="A304" s="478"/>
      <c r="B304" s="22" t="s">
        <v>831</v>
      </c>
      <c r="C304" s="35" t="s">
        <v>231</v>
      </c>
      <c r="D304" s="518" t="s">
        <v>215</v>
      </c>
      <c r="E304" s="35" t="s">
        <v>10</v>
      </c>
      <c r="F304" s="479" t="s">
        <v>992</v>
      </c>
      <c r="G304" s="174">
        <v>77</v>
      </c>
      <c r="H304" s="35" t="s">
        <v>15</v>
      </c>
      <c r="I304" s="34">
        <f>Cotação!E240</f>
        <v>53.5</v>
      </c>
      <c r="J304" s="34">
        <f t="shared" si="56"/>
        <v>64.467500000000001</v>
      </c>
      <c r="K304" s="233">
        <f t="shared" si="57"/>
        <v>4963.9975000000004</v>
      </c>
      <c r="L304" s="285">
        <f>K304/K300</f>
        <v>6.6537505784377796E-2</v>
      </c>
      <c r="M304" s="282"/>
      <c r="N304" s="285"/>
      <c r="O304" s="177"/>
      <c r="P304" s="177"/>
      <c r="Q304" s="177"/>
      <c r="R304" s="177"/>
      <c r="S304" s="177"/>
      <c r="T304" s="177"/>
      <c r="U304" s="177"/>
      <c r="V304" s="177"/>
      <c r="W304" s="177"/>
      <c r="X304" s="177"/>
      <c r="Y304" s="177"/>
      <c r="Z304" s="177"/>
      <c r="AA304" s="177"/>
      <c r="AB304" s="177"/>
      <c r="AC304" s="177"/>
      <c r="AD304" s="177"/>
      <c r="AE304" s="177"/>
      <c r="AF304" s="177"/>
      <c r="AG304" s="177"/>
      <c r="AH304" s="177"/>
      <c r="AI304" s="177"/>
      <c r="AJ304" s="177"/>
      <c r="AK304" s="177"/>
      <c r="AL304" s="177"/>
      <c r="AM304" s="177"/>
      <c r="AN304" s="177"/>
      <c r="AO304" s="177"/>
      <c r="AP304" s="177"/>
      <c r="AQ304" s="177"/>
      <c r="AR304" s="177"/>
      <c r="AS304" s="177"/>
      <c r="AT304" s="177"/>
      <c r="AU304" s="177"/>
      <c r="AV304" s="177"/>
      <c r="AW304" s="177"/>
      <c r="AX304" s="177"/>
      <c r="AY304" s="177"/>
      <c r="AZ304" s="177"/>
      <c r="BA304" s="177"/>
      <c r="BB304" s="177"/>
      <c r="BC304" s="177"/>
      <c r="BD304" s="177"/>
      <c r="BE304" s="177"/>
      <c r="BF304" s="177"/>
    </row>
    <row r="305" spans="1:58" s="32" customFormat="1" ht="25.2" customHeight="1">
      <c r="A305" s="478"/>
      <c r="B305" s="22" t="s">
        <v>832</v>
      </c>
      <c r="C305" s="35" t="s">
        <v>231</v>
      </c>
      <c r="D305" s="518" t="s">
        <v>216</v>
      </c>
      <c r="E305" s="35"/>
      <c r="F305" s="479" t="s">
        <v>993</v>
      </c>
      <c r="G305" s="174">
        <v>83</v>
      </c>
      <c r="H305" s="35" t="s">
        <v>15</v>
      </c>
      <c r="I305" s="34">
        <f>Cotação!E247</f>
        <v>29</v>
      </c>
      <c r="J305" s="34">
        <f t="shared" si="56"/>
        <v>34.945</v>
      </c>
      <c r="K305" s="233">
        <f t="shared" si="57"/>
        <v>2900.4349999999999</v>
      </c>
      <c r="L305" s="285">
        <f>K305/K300</f>
        <v>3.8877479408422705E-2</v>
      </c>
      <c r="M305" s="282"/>
      <c r="N305" s="285"/>
      <c r="O305" s="177"/>
      <c r="P305" s="177"/>
      <c r="Q305" s="177"/>
      <c r="R305" s="177"/>
      <c r="S305" s="177"/>
      <c r="T305" s="177"/>
      <c r="U305" s="177"/>
      <c r="V305" s="177"/>
      <c r="W305" s="177"/>
      <c r="X305" s="177"/>
      <c r="Y305" s="177"/>
      <c r="Z305" s="177"/>
      <c r="AA305" s="177"/>
      <c r="AB305" s="177"/>
      <c r="AC305" s="177"/>
      <c r="AD305" s="177"/>
      <c r="AE305" s="177"/>
      <c r="AF305" s="177"/>
      <c r="AG305" s="177"/>
      <c r="AH305" s="177"/>
      <c r="AI305" s="177"/>
      <c r="AJ305" s="177"/>
      <c r="AK305" s="177"/>
      <c r="AL305" s="177"/>
      <c r="AM305" s="177"/>
      <c r="AN305" s="177"/>
      <c r="AO305" s="177"/>
      <c r="AP305" s="177"/>
      <c r="AQ305" s="177"/>
      <c r="AR305" s="177"/>
      <c r="AS305" s="177"/>
      <c r="AT305" s="177"/>
      <c r="AU305" s="177"/>
      <c r="AV305" s="177"/>
      <c r="AW305" s="177"/>
      <c r="AX305" s="177"/>
      <c r="AY305" s="177"/>
      <c r="AZ305" s="177"/>
      <c r="BA305" s="177"/>
      <c r="BB305" s="177"/>
      <c r="BC305" s="177"/>
      <c r="BD305" s="177"/>
      <c r="BE305" s="177"/>
      <c r="BF305" s="177"/>
    </row>
    <row r="306" spans="1:58" ht="42.6" customHeight="1">
      <c r="B306" s="22" t="s">
        <v>833</v>
      </c>
      <c r="C306" s="22" t="s">
        <v>231</v>
      </c>
      <c r="D306" s="180" t="s">
        <v>217</v>
      </c>
      <c r="E306" s="22" t="s">
        <v>10</v>
      </c>
      <c r="F306" s="21" t="s">
        <v>550</v>
      </c>
      <c r="G306" s="173">
        <v>25</v>
      </c>
      <c r="H306" s="22" t="s">
        <v>15</v>
      </c>
      <c r="I306" s="19">
        <f>Cotação!E254</f>
        <v>74.37</v>
      </c>
      <c r="J306" s="19">
        <f t="shared" si="56"/>
        <v>89.615850000000009</v>
      </c>
      <c r="K306" s="228">
        <f t="shared" si="57"/>
        <v>2240.3962500000002</v>
      </c>
      <c r="L306" s="242">
        <f>K306/K300</f>
        <v>3.0030308928171965E-2</v>
      </c>
      <c r="M306" s="258"/>
      <c r="N306" s="242"/>
    </row>
    <row r="307" spans="1:58" ht="25.2" customHeight="1">
      <c r="B307" s="22" t="s">
        <v>834</v>
      </c>
      <c r="C307" s="22" t="s">
        <v>231</v>
      </c>
      <c r="D307" s="180" t="s">
        <v>218</v>
      </c>
      <c r="E307" s="22" t="s">
        <v>10</v>
      </c>
      <c r="F307" s="21" t="s">
        <v>962</v>
      </c>
      <c r="G307" s="173">
        <v>60</v>
      </c>
      <c r="H307" s="22" t="s">
        <v>13</v>
      </c>
      <c r="I307" s="19">
        <f>Cotação!E259</f>
        <v>29.9</v>
      </c>
      <c r="J307" s="19">
        <f t="shared" si="56"/>
        <v>36.029499999999999</v>
      </c>
      <c r="K307" s="228">
        <f t="shared" si="57"/>
        <v>2161.77</v>
      </c>
      <c r="L307" s="242">
        <f>K307/K300</f>
        <v>2.8976401353847249E-2</v>
      </c>
      <c r="M307" s="258"/>
      <c r="N307" s="242"/>
    </row>
    <row r="308" spans="1:58" ht="25.2" customHeight="1">
      <c r="B308" s="22" t="s">
        <v>835</v>
      </c>
      <c r="C308" s="22" t="s">
        <v>255</v>
      </c>
      <c r="D308" s="180" t="s">
        <v>999</v>
      </c>
      <c r="E308" s="22"/>
      <c r="F308" s="316" t="s">
        <v>596</v>
      </c>
      <c r="G308" s="173">
        <f>SUM(G304:G305)</f>
        <v>160</v>
      </c>
      <c r="H308" s="22" t="s">
        <v>15</v>
      </c>
      <c r="I308" s="19">
        <v>24.52</v>
      </c>
      <c r="J308" s="19">
        <f t="shared" si="56"/>
        <v>29.546599999999998</v>
      </c>
      <c r="K308" s="228">
        <f t="shared" si="57"/>
        <v>4727.4560000000001</v>
      </c>
      <c r="L308" s="242">
        <f>K308/K300</f>
        <v>6.3366899549282915E-2</v>
      </c>
      <c r="M308" s="258"/>
      <c r="N308" s="242"/>
    </row>
    <row r="309" spans="1:58" ht="25.2" customHeight="1">
      <c r="B309" s="22" t="s">
        <v>1007</v>
      </c>
      <c r="C309" s="22" t="s">
        <v>231</v>
      </c>
      <c r="D309" s="180" t="s">
        <v>219</v>
      </c>
      <c r="E309" s="22"/>
      <c r="F309" s="21" t="s">
        <v>996</v>
      </c>
      <c r="G309" s="173">
        <v>20</v>
      </c>
      <c r="H309" s="22" t="s">
        <v>13</v>
      </c>
      <c r="I309" s="19">
        <f>Cotação!E267</f>
        <v>4.5</v>
      </c>
      <c r="J309" s="19">
        <f>I309*$I$3+I309</f>
        <v>5.4225000000000003</v>
      </c>
      <c r="K309" s="228">
        <f>G309*J309</f>
        <v>108.45</v>
      </c>
      <c r="L309" s="242">
        <f>K309/K300</f>
        <v>1.4536656197582233E-3</v>
      </c>
      <c r="M309" s="258"/>
      <c r="N309" s="242"/>
    </row>
    <row r="310" spans="1:58" ht="25.2" customHeight="1">
      <c r="B310" s="22" t="s">
        <v>1008</v>
      </c>
      <c r="C310" s="35" t="s">
        <v>10</v>
      </c>
      <c r="D310" s="180" t="s">
        <v>995</v>
      </c>
      <c r="E310" s="22"/>
      <c r="F310" s="21" t="s">
        <v>994</v>
      </c>
      <c r="G310" s="173">
        <v>50</v>
      </c>
      <c r="H310" s="22" t="s">
        <v>13</v>
      </c>
      <c r="I310" s="19">
        <v>27.03</v>
      </c>
      <c r="J310" s="19">
        <f>I310*$I$3+I310</f>
        <v>32.571150000000003</v>
      </c>
      <c r="K310" s="228">
        <f>G310*J310</f>
        <v>1628.5575000000001</v>
      </c>
      <c r="L310" s="242">
        <f>K310/K300</f>
        <v>2.1829212056702654E-2</v>
      </c>
      <c r="M310" s="258"/>
      <c r="N310" s="242"/>
    </row>
    <row r="311" spans="1:58" ht="25.2" customHeight="1">
      <c r="B311" s="2"/>
      <c r="C311" s="28"/>
      <c r="D311" s="168"/>
      <c r="E311" s="28"/>
      <c r="F311" s="190"/>
      <c r="G311" s="209"/>
      <c r="H311" s="2"/>
      <c r="I311" s="29"/>
      <c r="J311" s="212"/>
      <c r="K311" s="231"/>
    </row>
    <row r="312" spans="1:58" ht="25.2" customHeight="1">
      <c r="B312" s="26" t="s">
        <v>54</v>
      </c>
      <c r="C312" s="533" t="s">
        <v>130</v>
      </c>
      <c r="D312" s="533"/>
      <c r="E312" s="533"/>
      <c r="F312" s="533"/>
      <c r="G312" s="533"/>
      <c r="H312" s="533"/>
      <c r="I312" s="533"/>
      <c r="J312" s="533"/>
      <c r="K312" s="234">
        <f>SUM(K313:K313)</f>
        <v>1827.7440000000001</v>
      </c>
      <c r="L312" s="240">
        <f>SUM(L313:L313)</f>
        <v>1</v>
      </c>
      <c r="M312" s="256">
        <f>K312/K331</f>
        <v>1.4781832605374209E-2</v>
      </c>
      <c r="N312" s="240">
        <f>K312/K398</f>
        <v>2.8122581008307949E-3</v>
      </c>
    </row>
    <row r="313" spans="1:58" s="32" customFormat="1" ht="25.2" customHeight="1">
      <c r="A313" s="14"/>
      <c r="B313" s="22" t="s">
        <v>836</v>
      </c>
      <c r="C313" s="35" t="s">
        <v>10</v>
      </c>
      <c r="D313" s="44">
        <v>87620</v>
      </c>
      <c r="E313" s="35" t="s">
        <v>10</v>
      </c>
      <c r="F313" s="33" t="s">
        <v>162</v>
      </c>
      <c r="G313" s="174">
        <v>60</v>
      </c>
      <c r="H313" s="35" t="s">
        <v>15</v>
      </c>
      <c r="I313" s="34">
        <v>25.28</v>
      </c>
      <c r="J313" s="34">
        <f>I313*$I$3+I313</f>
        <v>30.462400000000002</v>
      </c>
      <c r="K313" s="233">
        <f>G313*J313</f>
        <v>1827.7440000000001</v>
      </c>
      <c r="L313" s="285">
        <f>K313/K312</f>
        <v>1</v>
      </c>
      <c r="M313" s="282"/>
      <c r="N313" s="285"/>
      <c r="O313" s="177"/>
      <c r="P313" s="177"/>
      <c r="Q313" s="177"/>
      <c r="R313" s="177"/>
      <c r="S313" s="177"/>
      <c r="T313" s="177"/>
      <c r="U313" s="177"/>
      <c r="V313" s="177"/>
      <c r="W313" s="177"/>
      <c r="X313" s="177"/>
      <c r="Y313" s="177"/>
      <c r="Z313" s="177"/>
      <c r="AA313" s="177"/>
      <c r="AB313" s="177"/>
      <c r="AC313" s="177"/>
      <c r="AD313" s="177"/>
      <c r="AE313" s="177"/>
      <c r="AF313" s="177"/>
      <c r="AG313" s="177"/>
      <c r="AH313" s="177"/>
      <c r="AI313" s="177"/>
      <c r="AJ313" s="177"/>
      <c r="AK313" s="177"/>
      <c r="AL313" s="177"/>
      <c r="AM313" s="177"/>
      <c r="AN313" s="177"/>
      <c r="AO313" s="177"/>
      <c r="AP313" s="177"/>
      <c r="AQ313" s="177"/>
      <c r="AR313" s="177"/>
      <c r="AS313" s="177"/>
      <c r="AT313" s="177"/>
      <c r="AU313" s="177"/>
      <c r="AV313" s="177"/>
      <c r="AW313" s="177"/>
      <c r="AX313" s="177"/>
      <c r="AY313" s="177"/>
      <c r="AZ313" s="177"/>
      <c r="BA313" s="177"/>
      <c r="BB313" s="177"/>
      <c r="BC313" s="177"/>
      <c r="BD313" s="177"/>
      <c r="BE313" s="177"/>
      <c r="BF313" s="177"/>
    </row>
    <row r="314" spans="1:58" ht="25.2" customHeight="1">
      <c r="B314" s="2"/>
      <c r="C314" s="28"/>
      <c r="D314" s="168"/>
      <c r="E314" s="28"/>
      <c r="F314" s="190"/>
      <c r="G314" s="209"/>
      <c r="H314" s="2"/>
      <c r="I314" s="29"/>
      <c r="J314" s="212"/>
      <c r="K314" s="231"/>
    </row>
    <row r="315" spans="1:58" ht="25.2" customHeight="1">
      <c r="B315" s="26" t="s">
        <v>55</v>
      </c>
      <c r="C315" s="537" t="s">
        <v>62</v>
      </c>
      <c r="D315" s="538"/>
      <c r="E315" s="538"/>
      <c r="F315" s="538"/>
      <c r="G315" s="538"/>
      <c r="H315" s="538"/>
      <c r="I315" s="538"/>
      <c r="J315" s="539"/>
      <c r="K315" s="234">
        <f>SUM(K316:K322)</f>
        <v>27579.673680000004</v>
      </c>
      <c r="L315" s="240">
        <f>SUM(L316:L322)</f>
        <v>0.99999999999999989</v>
      </c>
      <c r="M315" s="256">
        <f>K315/K331</f>
        <v>0.22304990176337874</v>
      </c>
      <c r="N315" s="240">
        <f>K315/K398</f>
        <v>4.2435461817874852E-2</v>
      </c>
    </row>
    <row r="316" spans="1:58" s="483" customFormat="1" ht="25.2" customHeight="1">
      <c r="A316" s="481"/>
      <c r="B316" s="35" t="s">
        <v>837</v>
      </c>
      <c r="C316" s="35" t="s">
        <v>231</v>
      </c>
      <c r="D316" s="518" t="s">
        <v>220</v>
      </c>
      <c r="E316" s="35" t="s">
        <v>10</v>
      </c>
      <c r="F316" s="479" t="s">
        <v>148</v>
      </c>
      <c r="G316" s="174">
        <v>129</v>
      </c>
      <c r="H316" s="35" t="s">
        <v>15</v>
      </c>
      <c r="I316" s="34">
        <f>Cotação!E275</f>
        <v>31.66</v>
      </c>
      <c r="J316" s="34">
        <f t="shared" ref="J316:J322" si="58">I316*$I$3+I316</f>
        <v>38.150300000000001</v>
      </c>
      <c r="K316" s="233">
        <f t="shared" ref="K316:K322" si="59">G316*J316</f>
        <v>4921.3887000000004</v>
      </c>
      <c r="L316" s="285">
        <f>K316/K315</f>
        <v>0.17844260077554333</v>
      </c>
      <c r="M316" s="282"/>
      <c r="N316" s="285"/>
      <c r="O316" s="482"/>
      <c r="P316" s="482"/>
      <c r="Q316" s="482"/>
      <c r="R316" s="482"/>
      <c r="S316" s="482"/>
      <c r="T316" s="482"/>
      <c r="U316" s="482"/>
      <c r="V316" s="482"/>
      <c r="W316" s="482"/>
      <c r="X316" s="482"/>
      <c r="Y316" s="482"/>
      <c r="Z316" s="482"/>
      <c r="AA316" s="482"/>
      <c r="AB316" s="482"/>
      <c r="AC316" s="482"/>
      <c r="AD316" s="482"/>
      <c r="AE316" s="482"/>
      <c r="AF316" s="482"/>
      <c r="AG316" s="482"/>
      <c r="AH316" s="482"/>
      <c r="AI316" s="482"/>
      <c r="AJ316" s="482"/>
      <c r="AK316" s="482"/>
      <c r="AL316" s="482"/>
      <c r="AM316" s="482"/>
      <c r="AN316" s="482"/>
      <c r="AO316" s="482"/>
      <c r="AP316" s="482"/>
      <c r="AQ316" s="482"/>
      <c r="AR316" s="482"/>
      <c r="AS316" s="482"/>
      <c r="AT316" s="482"/>
      <c r="AU316" s="482"/>
      <c r="AV316" s="482"/>
      <c r="AW316" s="482"/>
      <c r="AX316" s="482"/>
      <c r="AY316" s="482"/>
      <c r="AZ316" s="482"/>
      <c r="BA316" s="482"/>
      <c r="BB316" s="482"/>
      <c r="BC316" s="482"/>
      <c r="BD316" s="482"/>
      <c r="BE316" s="482"/>
      <c r="BF316" s="482"/>
    </row>
    <row r="317" spans="1:58" s="483" customFormat="1" ht="25.2" customHeight="1">
      <c r="A317" s="481"/>
      <c r="B317" s="35" t="s">
        <v>838</v>
      </c>
      <c r="C317" s="35" t="s">
        <v>231</v>
      </c>
      <c r="D317" s="518" t="s">
        <v>221</v>
      </c>
      <c r="E317" s="35" t="s">
        <v>10</v>
      </c>
      <c r="F317" s="479" t="s">
        <v>149</v>
      </c>
      <c r="G317" s="174">
        <v>19</v>
      </c>
      <c r="H317" s="35" t="s">
        <v>15</v>
      </c>
      <c r="I317" s="34">
        <f>Cotação!E287</f>
        <v>33.6</v>
      </c>
      <c r="J317" s="34">
        <f t="shared" si="58"/>
        <v>40.488</v>
      </c>
      <c r="K317" s="233">
        <f t="shared" si="59"/>
        <v>769.27199999999993</v>
      </c>
      <c r="L317" s="285">
        <f>K317/K315</f>
        <v>2.7892715806781071E-2</v>
      </c>
      <c r="M317" s="282"/>
      <c r="N317" s="285"/>
      <c r="O317" s="482"/>
      <c r="P317" s="482"/>
      <c r="Q317" s="482"/>
      <c r="R317" s="482"/>
      <c r="S317" s="482"/>
      <c r="T317" s="482"/>
      <c r="U317" s="482"/>
      <c r="V317" s="482"/>
      <c r="W317" s="482"/>
      <c r="X317" s="482"/>
      <c r="Y317" s="482"/>
      <c r="Z317" s="482"/>
      <c r="AA317" s="482"/>
      <c r="AB317" s="482"/>
      <c r="AC317" s="482"/>
      <c r="AD317" s="482"/>
      <c r="AE317" s="482"/>
      <c r="AF317" s="482"/>
      <c r="AG317" s="482"/>
      <c r="AH317" s="482"/>
      <c r="AI317" s="482"/>
      <c r="AJ317" s="482"/>
      <c r="AK317" s="482"/>
      <c r="AL317" s="482"/>
      <c r="AM317" s="482"/>
      <c r="AN317" s="482"/>
      <c r="AO317" s="482"/>
      <c r="AP317" s="482"/>
      <c r="AQ317" s="482"/>
      <c r="AR317" s="482"/>
      <c r="AS317" s="482"/>
      <c r="AT317" s="482"/>
      <c r="AU317" s="482"/>
      <c r="AV317" s="482"/>
      <c r="AW317" s="482"/>
      <c r="AX317" s="482"/>
      <c r="AY317" s="482"/>
      <c r="AZ317" s="482"/>
      <c r="BA317" s="482"/>
      <c r="BB317" s="482"/>
      <c r="BC317" s="482"/>
      <c r="BD317" s="482"/>
      <c r="BE317" s="482"/>
      <c r="BF317" s="482"/>
    </row>
    <row r="318" spans="1:58" s="483" customFormat="1" ht="25.2" customHeight="1">
      <c r="A318" s="481"/>
      <c r="B318" s="35" t="s">
        <v>839</v>
      </c>
      <c r="C318" s="35" t="s">
        <v>231</v>
      </c>
      <c r="D318" s="518" t="s">
        <v>222</v>
      </c>
      <c r="E318" s="35"/>
      <c r="F318" s="479" t="s">
        <v>150</v>
      </c>
      <c r="G318" s="174">
        <v>14.4</v>
      </c>
      <c r="H318" s="35" t="s">
        <v>15</v>
      </c>
      <c r="I318" s="34">
        <f>Cotação!E294</f>
        <v>37</v>
      </c>
      <c r="J318" s="34">
        <f t="shared" si="58"/>
        <v>44.585000000000001</v>
      </c>
      <c r="K318" s="233">
        <f t="shared" si="59"/>
        <v>642.024</v>
      </c>
      <c r="L318" s="285">
        <f>K318/K315</f>
        <v>2.3278883116937588E-2</v>
      </c>
      <c r="M318" s="282"/>
      <c r="N318" s="285"/>
      <c r="O318" s="482"/>
      <c r="P318" s="482"/>
      <c r="Q318" s="482"/>
      <c r="R318" s="482"/>
      <c r="S318" s="482"/>
      <c r="T318" s="482"/>
      <c r="U318" s="482"/>
      <c r="V318" s="482"/>
      <c r="W318" s="482"/>
      <c r="X318" s="482"/>
      <c r="Y318" s="482"/>
      <c r="Z318" s="482"/>
      <c r="AA318" s="482"/>
      <c r="AB318" s="482"/>
      <c r="AC318" s="482"/>
      <c r="AD318" s="482"/>
      <c r="AE318" s="482"/>
      <c r="AF318" s="482"/>
      <c r="AG318" s="482"/>
      <c r="AH318" s="482"/>
      <c r="AI318" s="482"/>
      <c r="AJ318" s="482"/>
      <c r="AK318" s="482"/>
      <c r="AL318" s="482"/>
      <c r="AM318" s="482"/>
      <c r="AN318" s="482"/>
      <c r="AO318" s="482"/>
      <c r="AP318" s="482"/>
      <c r="AQ318" s="482"/>
      <c r="AR318" s="482"/>
      <c r="AS318" s="482"/>
      <c r="AT318" s="482"/>
      <c r="AU318" s="482"/>
      <c r="AV318" s="482"/>
      <c r="AW318" s="482"/>
      <c r="AX318" s="482"/>
      <c r="AY318" s="482"/>
      <c r="AZ318" s="482"/>
      <c r="BA318" s="482"/>
      <c r="BB318" s="482"/>
      <c r="BC318" s="482"/>
      <c r="BD318" s="482"/>
      <c r="BE318" s="482"/>
      <c r="BF318" s="482"/>
    </row>
    <row r="319" spans="1:58" s="483" customFormat="1" ht="25.2" customHeight="1">
      <c r="A319" s="481"/>
      <c r="B319" s="35" t="s">
        <v>840</v>
      </c>
      <c r="C319" s="35" t="s">
        <v>231</v>
      </c>
      <c r="D319" s="518" t="s">
        <v>223</v>
      </c>
      <c r="E319" s="35"/>
      <c r="F319" s="479" t="s">
        <v>966</v>
      </c>
      <c r="G319" s="174">
        <v>66.400000000000006</v>
      </c>
      <c r="H319" s="35" t="s">
        <v>15</v>
      </c>
      <c r="I319" s="34">
        <f>Cotação!E301</f>
        <v>44.5</v>
      </c>
      <c r="J319" s="34">
        <f t="shared" si="58"/>
        <v>53.622500000000002</v>
      </c>
      <c r="K319" s="233">
        <f t="shared" si="59"/>
        <v>3560.5340000000006</v>
      </c>
      <c r="L319" s="285">
        <f>K319/K315</f>
        <v>0.12909993212073423</v>
      </c>
      <c r="M319" s="282"/>
      <c r="N319" s="285"/>
      <c r="O319" s="482"/>
      <c r="P319" s="482"/>
      <c r="Q319" s="482"/>
      <c r="R319" s="482"/>
      <c r="S319" s="482"/>
      <c r="T319" s="482"/>
      <c r="U319" s="482"/>
      <c r="V319" s="482"/>
      <c r="W319" s="482"/>
      <c r="X319" s="482"/>
      <c r="Y319" s="482"/>
      <c r="Z319" s="482"/>
      <c r="AA319" s="482"/>
      <c r="AB319" s="482"/>
      <c r="AC319" s="482"/>
      <c r="AD319" s="482"/>
      <c r="AE319" s="482"/>
      <c r="AF319" s="482"/>
      <c r="AG319" s="482"/>
      <c r="AH319" s="482"/>
      <c r="AI319" s="482"/>
      <c r="AJ319" s="482"/>
      <c r="AK319" s="482"/>
      <c r="AL319" s="482"/>
      <c r="AM319" s="482"/>
      <c r="AN319" s="482"/>
      <c r="AO319" s="482"/>
      <c r="AP319" s="482"/>
      <c r="AQ319" s="482"/>
      <c r="AR319" s="482"/>
      <c r="AS319" s="482"/>
      <c r="AT319" s="482"/>
      <c r="AU319" s="482"/>
      <c r="AV319" s="482"/>
      <c r="AW319" s="482"/>
      <c r="AX319" s="482"/>
      <c r="AY319" s="482"/>
      <c r="AZ319" s="482"/>
      <c r="BA319" s="482"/>
      <c r="BB319" s="482"/>
      <c r="BC319" s="482"/>
      <c r="BD319" s="482"/>
      <c r="BE319" s="482"/>
      <c r="BF319" s="482"/>
    </row>
    <row r="320" spans="1:58" s="483" customFormat="1" ht="25.2" customHeight="1">
      <c r="A320" s="481"/>
      <c r="B320" s="35" t="s">
        <v>841</v>
      </c>
      <c r="C320" s="35" t="s">
        <v>10</v>
      </c>
      <c r="D320" s="44" t="s">
        <v>964</v>
      </c>
      <c r="E320" s="35"/>
      <c r="F320" s="519" t="s">
        <v>963</v>
      </c>
      <c r="G320" s="174">
        <v>155</v>
      </c>
      <c r="H320" s="35" t="s">
        <v>15</v>
      </c>
      <c r="I320" s="34">
        <v>53</v>
      </c>
      <c r="J320" s="34">
        <f t="shared" si="58"/>
        <v>63.865000000000002</v>
      </c>
      <c r="K320" s="233">
        <f t="shared" si="59"/>
        <v>9899.0750000000007</v>
      </c>
      <c r="L320" s="285">
        <f>K320/K315</f>
        <v>0.35892647298356284</v>
      </c>
      <c r="M320" s="282"/>
      <c r="N320" s="285"/>
      <c r="O320" s="482"/>
      <c r="P320" s="482"/>
      <c r="Q320" s="482"/>
      <c r="R320" s="482"/>
      <c r="S320" s="482"/>
      <c r="T320" s="482"/>
      <c r="U320" s="482"/>
      <c r="V320" s="482"/>
      <c r="W320" s="482"/>
      <c r="X320" s="482"/>
      <c r="Y320" s="482"/>
      <c r="Z320" s="482"/>
      <c r="AA320" s="482"/>
      <c r="AB320" s="482"/>
      <c r="AC320" s="482"/>
      <c r="AD320" s="482"/>
      <c r="AE320" s="482"/>
      <c r="AF320" s="482"/>
      <c r="AG320" s="482"/>
      <c r="AH320" s="482"/>
      <c r="AI320" s="482"/>
      <c r="AJ320" s="482"/>
      <c r="AK320" s="482"/>
      <c r="AL320" s="482"/>
      <c r="AM320" s="482"/>
      <c r="AN320" s="482"/>
      <c r="AO320" s="482"/>
      <c r="AP320" s="482"/>
      <c r="AQ320" s="482"/>
      <c r="AR320" s="482"/>
      <c r="AS320" s="482"/>
      <c r="AT320" s="482"/>
      <c r="AU320" s="482"/>
      <c r="AV320" s="482"/>
      <c r="AW320" s="482"/>
      <c r="AX320" s="482"/>
      <c r="AY320" s="482"/>
      <c r="AZ320" s="482"/>
      <c r="BA320" s="482"/>
      <c r="BB320" s="482"/>
      <c r="BC320" s="482"/>
      <c r="BD320" s="482"/>
      <c r="BE320" s="482"/>
      <c r="BF320" s="482"/>
    </row>
    <row r="321" spans="1:58" s="483" customFormat="1" ht="25.2" customHeight="1">
      <c r="A321" s="481"/>
      <c r="B321" s="35" t="s">
        <v>842</v>
      </c>
      <c r="C321" s="35" t="s">
        <v>10</v>
      </c>
      <c r="D321" s="44" t="s">
        <v>965</v>
      </c>
      <c r="E321" s="35"/>
      <c r="F321" s="479" t="s">
        <v>273</v>
      </c>
      <c r="G321" s="174">
        <v>17</v>
      </c>
      <c r="H321" s="35" t="s">
        <v>15</v>
      </c>
      <c r="I321" s="34">
        <v>50.14</v>
      </c>
      <c r="J321" s="34">
        <f t="shared" si="58"/>
        <v>60.418700000000001</v>
      </c>
      <c r="K321" s="233">
        <f t="shared" si="59"/>
        <v>1027.1179</v>
      </c>
      <c r="L321" s="285">
        <f>K321/K315</f>
        <v>3.7241843827355965E-2</v>
      </c>
      <c r="M321" s="282"/>
      <c r="N321" s="285"/>
      <c r="O321" s="482"/>
      <c r="P321" s="482"/>
      <c r="Q321" s="482"/>
      <c r="R321" s="482"/>
      <c r="S321" s="482"/>
      <c r="T321" s="482"/>
      <c r="U321" s="482"/>
      <c r="V321" s="482"/>
      <c r="W321" s="482"/>
      <c r="X321" s="482"/>
      <c r="Y321" s="482"/>
      <c r="Z321" s="482"/>
      <c r="AA321" s="482"/>
      <c r="AB321" s="482"/>
      <c r="AC321" s="482"/>
      <c r="AD321" s="482"/>
      <c r="AE321" s="482"/>
      <c r="AF321" s="482"/>
      <c r="AG321" s="482"/>
      <c r="AH321" s="482"/>
      <c r="AI321" s="482"/>
      <c r="AJ321" s="482"/>
      <c r="AK321" s="482"/>
      <c r="AL321" s="482"/>
      <c r="AM321" s="482"/>
      <c r="AN321" s="482"/>
      <c r="AO321" s="482"/>
      <c r="AP321" s="482"/>
      <c r="AQ321" s="482"/>
      <c r="AR321" s="482"/>
      <c r="AS321" s="482"/>
      <c r="AT321" s="482"/>
      <c r="AU321" s="482"/>
      <c r="AV321" s="482"/>
      <c r="AW321" s="482"/>
      <c r="AX321" s="482"/>
      <c r="AY321" s="482"/>
      <c r="AZ321" s="482"/>
      <c r="BA321" s="482"/>
      <c r="BB321" s="482"/>
      <c r="BC321" s="482"/>
      <c r="BD321" s="482"/>
      <c r="BE321" s="482"/>
      <c r="BF321" s="482"/>
    </row>
    <row r="322" spans="1:58" s="483" customFormat="1" ht="25.2" customHeight="1">
      <c r="A322" s="481"/>
      <c r="B322" s="35" t="s">
        <v>843</v>
      </c>
      <c r="C322" s="35" t="s">
        <v>255</v>
      </c>
      <c r="D322" s="44" t="s">
        <v>999</v>
      </c>
      <c r="E322" s="35"/>
      <c r="F322" s="479" t="s">
        <v>596</v>
      </c>
      <c r="G322" s="174">
        <f>SUM(G316:G319)</f>
        <v>228.8</v>
      </c>
      <c r="H322" s="35" t="s">
        <v>15</v>
      </c>
      <c r="I322" s="34">
        <f>Composição!G16</f>
        <v>24.52</v>
      </c>
      <c r="J322" s="34">
        <f t="shared" si="58"/>
        <v>29.546599999999998</v>
      </c>
      <c r="K322" s="233">
        <f t="shared" si="59"/>
        <v>6760.2620799999995</v>
      </c>
      <c r="L322" s="285">
        <f>K322/K315</f>
        <v>0.24511755136908489</v>
      </c>
      <c r="M322" s="282"/>
      <c r="N322" s="285"/>
      <c r="O322" s="482"/>
      <c r="P322" s="482"/>
      <c r="Q322" s="482"/>
      <c r="R322" s="482"/>
      <c r="S322" s="482"/>
      <c r="T322" s="482"/>
      <c r="U322" s="482"/>
      <c r="V322" s="482"/>
      <c r="W322" s="482"/>
      <c r="X322" s="482"/>
      <c r="Y322" s="482"/>
      <c r="Z322" s="482"/>
      <c r="AA322" s="482"/>
      <c r="AB322" s="482"/>
      <c r="AC322" s="482"/>
      <c r="AD322" s="482"/>
      <c r="AE322" s="482"/>
      <c r="AF322" s="482"/>
      <c r="AG322" s="482"/>
      <c r="AH322" s="482"/>
      <c r="AI322" s="482"/>
      <c r="AJ322" s="482"/>
      <c r="AK322" s="482"/>
      <c r="AL322" s="482"/>
      <c r="AM322" s="482"/>
      <c r="AN322" s="482"/>
      <c r="AO322" s="482"/>
      <c r="AP322" s="482"/>
      <c r="AQ322" s="482"/>
      <c r="AR322" s="482"/>
      <c r="AS322" s="482"/>
      <c r="AT322" s="482"/>
      <c r="AU322" s="482"/>
      <c r="AV322" s="482"/>
      <c r="AW322" s="482"/>
      <c r="AX322" s="482"/>
      <c r="AY322" s="482"/>
      <c r="AZ322" s="482"/>
      <c r="BA322" s="482"/>
      <c r="BB322" s="482"/>
      <c r="BC322" s="482"/>
      <c r="BD322" s="482"/>
      <c r="BE322" s="482"/>
      <c r="BF322" s="482"/>
    </row>
    <row r="323" spans="1:58" ht="25.2" customHeight="1">
      <c r="B323" s="291"/>
      <c r="C323" s="292"/>
      <c r="D323" s="293"/>
      <c r="E323" s="292"/>
      <c r="F323" s="294"/>
      <c r="G323" s="295"/>
      <c r="H323" s="291"/>
      <c r="I323" s="296"/>
      <c r="J323" s="297"/>
      <c r="K323" s="298"/>
    </row>
    <row r="324" spans="1:58" ht="25.2" customHeight="1">
      <c r="B324" s="26" t="s">
        <v>55</v>
      </c>
      <c r="C324" s="537" t="s">
        <v>65</v>
      </c>
      <c r="D324" s="538"/>
      <c r="E324" s="538"/>
      <c r="F324" s="538"/>
      <c r="G324" s="538"/>
      <c r="H324" s="538"/>
      <c r="I324" s="538"/>
      <c r="J324" s="539"/>
      <c r="K324" s="234">
        <f>SUM(K325:K326)</f>
        <v>11683.077499999999</v>
      </c>
      <c r="L324" s="240">
        <f>SUM(L325:L326)</f>
        <v>1</v>
      </c>
      <c r="M324" s="256">
        <f>K324/K331</f>
        <v>9.4486588888057499E-2</v>
      </c>
      <c r="N324" s="240">
        <f>K324/K398</f>
        <v>1.7976165886474795E-2</v>
      </c>
    </row>
    <row r="325" spans="1:58" s="475" customFormat="1" ht="25.2" customHeight="1">
      <c r="A325" s="473"/>
      <c r="B325" s="22" t="s">
        <v>844</v>
      </c>
      <c r="C325" s="22" t="s">
        <v>231</v>
      </c>
      <c r="D325" s="180" t="s">
        <v>224</v>
      </c>
      <c r="E325" s="22" t="s">
        <v>10</v>
      </c>
      <c r="F325" s="21" t="s">
        <v>967</v>
      </c>
      <c r="G325" s="173">
        <v>130</v>
      </c>
      <c r="H325" s="22" t="s">
        <v>15</v>
      </c>
      <c r="I325" s="19">
        <v>70</v>
      </c>
      <c r="J325" s="19">
        <f>I325*$I$3+I325</f>
        <v>84.35</v>
      </c>
      <c r="K325" s="228">
        <f>G325*J325</f>
        <v>10965.5</v>
      </c>
      <c r="L325" s="242">
        <f>K325/K324</f>
        <v>0.938579753493889</v>
      </c>
      <c r="M325" s="258"/>
      <c r="N325" s="242"/>
      <c r="O325" s="474"/>
      <c r="P325" s="474"/>
      <c r="Q325" s="474"/>
      <c r="R325" s="474"/>
      <c r="S325" s="474"/>
      <c r="T325" s="474"/>
      <c r="U325" s="474"/>
      <c r="V325" s="474"/>
      <c r="W325" s="474"/>
      <c r="X325" s="474"/>
      <c r="Y325" s="474"/>
      <c r="Z325" s="474"/>
      <c r="AA325" s="474"/>
      <c r="AB325" s="474"/>
      <c r="AC325" s="474"/>
      <c r="AD325" s="474"/>
      <c r="AE325" s="474"/>
      <c r="AF325" s="474"/>
      <c r="AG325" s="474"/>
      <c r="AH325" s="474"/>
      <c r="AI325" s="474"/>
      <c r="AJ325" s="474"/>
      <c r="AK325" s="474"/>
      <c r="AL325" s="474"/>
      <c r="AM325" s="474"/>
      <c r="AN325" s="474"/>
      <c r="AO325" s="474"/>
      <c r="AP325" s="474"/>
      <c r="AQ325" s="474"/>
      <c r="AR325" s="474"/>
      <c r="AS325" s="474"/>
      <c r="AT325" s="474"/>
      <c r="AU325" s="474"/>
      <c r="AV325" s="474"/>
      <c r="AW325" s="474"/>
      <c r="AX325" s="474"/>
      <c r="AY325" s="474"/>
      <c r="AZ325" s="474"/>
      <c r="BA325" s="474"/>
      <c r="BB325" s="474"/>
      <c r="BC325" s="474"/>
      <c r="BD325" s="474"/>
      <c r="BE325" s="474"/>
      <c r="BF325" s="474"/>
    </row>
    <row r="326" spans="1:58" s="475" customFormat="1" ht="25.2" customHeight="1">
      <c r="A326" s="473"/>
      <c r="B326" s="22" t="s">
        <v>968</v>
      </c>
      <c r="C326" s="16" t="s">
        <v>10</v>
      </c>
      <c r="D326" s="180">
        <v>96114</v>
      </c>
      <c r="E326" s="22" t="s">
        <v>10</v>
      </c>
      <c r="F326" s="21" t="s">
        <v>281</v>
      </c>
      <c r="G326" s="173">
        <v>10</v>
      </c>
      <c r="H326" s="22" t="s">
        <v>15</v>
      </c>
      <c r="I326" s="19">
        <v>59.55</v>
      </c>
      <c r="J326" s="19">
        <f>I326*$I$3+I326</f>
        <v>71.757750000000001</v>
      </c>
      <c r="K326" s="228">
        <f>G326*J326</f>
        <v>717.57749999999999</v>
      </c>
      <c r="L326" s="242">
        <f>K326/K324</f>
        <v>6.1420246506111081E-2</v>
      </c>
      <c r="M326" s="258"/>
      <c r="N326" s="242"/>
      <c r="O326" s="474"/>
      <c r="P326" s="474"/>
      <c r="Q326" s="474"/>
      <c r="R326" s="474"/>
      <c r="S326" s="474"/>
      <c r="T326" s="474"/>
      <c r="U326" s="474"/>
      <c r="V326" s="474"/>
      <c r="W326" s="474"/>
      <c r="X326" s="474"/>
      <c r="Y326" s="474"/>
      <c r="Z326" s="474"/>
      <c r="AA326" s="474"/>
      <c r="AB326" s="474"/>
      <c r="AC326" s="474"/>
      <c r="AD326" s="474"/>
      <c r="AE326" s="474"/>
      <c r="AF326" s="474"/>
      <c r="AG326" s="474"/>
      <c r="AH326" s="474"/>
      <c r="AI326" s="474"/>
      <c r="AJ326" s="474"/>
      <c r="AK326" s="474"/>
      <c r="AL326" s="474"/>
      <c r="AM326" s="474"/>
      <c r="AN326" s="474"/>
      <c r="AO326" s="474"/>
      <c r="AP326" s="474"/>
      <c r="AQ326" s="474"/>
      <c r="AR326" s="474"/>
      <c r="AS326" s="474"/>
      <c r="AT326" s="474"/>
      <c r="AU326" s="474"/>
      <c r="AV326" s="474"/>
      <c r="AW326" s="474"/>
      <c r="AX326" s="474"/>
      <c r="AY326" s="474"/>
      <c r="AZ326" s="474"/>
      <c r="BA326" s="474"/>
      <c r="BB326" s="474"/>
      <c r="BC326" s="474"/>
      <c r="BD326" s="474"/>
      <c r="BE326" s="474"/>
      <c r="BF326" s="474"/>
    </row>
    <row r="327" spans="1:58" ht="25.2" customHeight="1">
      <c r="B327" s="2"/>
      <c r="C327" s="28"/>
      <c r="D327" s="168"/>
      <c r="E327" s="28"/>
      <c r="F327" s="190"/>
      <c r="G327" s="209"/>
      <c r="H327" s="2"/>
      <c r="I327" s="29"/>
      <c r="J327" s="212"/>
      <c r="K327" s="231"/>
    </row>
    <row r="328" spans="1:58" ht="25.2" customHeight="1">
      <c r="B328" s="26" t="s">
        <v>56</v>
      </c>
      <c r="C328" s="537" t="s">
        <v>32</v>
      </c>
      <c r="D328" s="538"/>
      <c r="E328" s="538"/>
      <c r="F328" s="538"/>
      <c r="G328" s="538"/>
      <c r="H328" s="538"/>
      <c r="I328" s="538"/>
      <c r="J328" s="539"/>
      <c r="K328" s="226">
        <f>SUM(K329:K329)</f>
        <v>7952.9999999999991</v>
      </c>
      <c r="L328" s="240">
        <f>SUM(L329:L329)</f>
        <v>1</v>
      </c>
      <c r="M328" s="256">
        <f>K328/K331</f>
        <v>6.4319683013890933E-2</v>
      </c>
      <c r="N328" s="240">
        <f>K328/K398</f>
        <v>1.2236882558994753E-2</v>
      </c>
    </row>
    <row r="329" spans="1:58" s="475" customFormat="1" ht="25.2" customHeight="1">
      <c r="A329" s="473"/>
      <c r="B329" s="22" t="s">
        <v>845</v>
      </c>
      <c r="C329" s="22" t="s">
        <v>10</v>
      </c>
      <c r="D329" s="180" t="s">
        <v>553</v>
      </c>
      <c r="E329" s="22"/>
      <c r="F329" s="21" t="s">
        <v>552</v>
      </c>
      <c r="G329" s="173">
        <v>500</v>
      </c>
      <c r="H329" s="22" t="s">
        <v>15</v>
      </c>
      <c r="I329" s="19">
        <v>13.2</v>
      </c>
      <c r="J329" s="19">
        <f t="shared" ref="J329" si="60">I329*$I$3+I329</f>
        <v>15.905999999999999</v>
      </c>
      <c r="K329" s="228">
        <f t="shared" ref="K329" si="61">G329*J329</f>
        <v>7952.9999999999991</v>
      </c>
      <c r="L329" s="242">
        <f>K329/K328</f>
        <v>1</v>
      </c>
      <c r="M329" s="258"/>
      <c r="N329" s="242"/>
      <c r="O329" s="474"/>
      <c r="P329" s="474"/>
      <c r="Q329" s="474"/>
      <c r="R329" s="474"/>
      <c r="S329" s="474"/>
      <c r="T329" s="474"/>
      <c r="U329" s="474"/>
      <c r="V329" s="474"/>
      <c r="W329" s="474"/>
      <c r="X329" s="474"/>
      <c r="Y329" s="474"/>
      <c r="Z329" s="474"/>
      <c r="AA329" s="474"/>
      <c r="AB329" s="474"/>
      <c r="AC329" s="474"/>
      <c r="AD329" s="474"/>
      <c r="AE329" s="474"/>
      <c r="AF329" s="474"/>
      <c r="AG329" s="474"/>
      <c r="AH329" s="474"/>
      <c r="AI329" s="474"/>
      <c r="AJ329" s="474"/>
      <c r="AK329" s="474"/>
      <c r="AL329" s="474"/>
      <c r="AM329" s="474"/>
      <c r="AN329" s="474"/>
      <c r="AO329" s="474"/>
      <c r="AP329" s="474"/>
      <c r="AQ329" s="474"/>
      <c r="AR329" s="474"/>
      <c r="AS329" s="474"/>
      <c r="AT329" s="474"/>
      <c r="AU329" s="474"/>
      <c r="AV329" s="474"/>
      <c r="AW329" s="474"/>
      <c r="AX329" s="474"/>
      <c r="AY329" s="474"/>
      <c r="AZ329" s="474"/>
      <c r="BA329" s="474"/>
      <c r="BB329" s="474"/>
      <c r="BC329" s="474"/>
      <c r="BD329" s="474"/>
      <c r="BE329" s="474"/>
      <c r="BF329" s="474"/>
    </row>
    <row r="330" spans="1:58" customFormat="1" ht="25.2" customHeight="1" thickBot="1">
      <c r="B330" s="494"/>
      <c r="C330" s="495"/>
      <c r="D330" s="496"/>
      <c r="E330" s="495"/>
      <c r="F330" s="495"/>
      <c r="G330" s="498"/>
      <c r="H330" s="495"/>
      <c r="I330" s="495"/>
      <c r="J330" s="495"/>
      <c r="K330" s="495"/>
      <c r="L330" s="496"/>
      <c r="M330" s="496"/>
      <c r="N330" s="501"/>
    </row>
    <row r="331" spans="1:58" ht="25.2" customHeight="1" thickBot="1">
      <c r="B331" s="535" t="s">
        <v>448</v>
      </c>
      <c r="C331" s="536"/>
      <c r="D331" s="536"/>
      <c r="E331" s="536"/>
      <c r="F331" s="536"/>
      <c r="G331" s="536"/>
      <c r="H331" s="536"/>
      <c r="I331" s="536"/>
      <c r="J331" s="536"/>
      <c r="K331" s="232">
        <f>SUM(K328,K324,K315,K312,K300)</f>
        <v>123647.99742999999</v>
      </c>
      <c r="L331" s="243"/>
      <c r="M331" s="260">
        <f>SUM(M300:M330)</f>
        <v>1.0000000000000002</v>
      </c>
      <c r="N331" s="311">
        <f>SUM(N300:N330)</f>
        <v>0.19025097739290772</v>
      </c>
    </row>
    <row r="332" spans="1:58" ht="25.2" customHeight="1" thickBot="1">
      <c r="B332" s="2"/>
      <c r="C332" s="28"/>
      <c r="D332" s="168"/>
      <c r="E332" s="28"/>
      <c r="F332" s="190"/>
      <c r="G332" s="212"/>
      <c r="H332" s="2"/>
      <c r="I332" s="29"/>
      <c r="J332" s="29"/>
      <c r="K332" s="231"/>
      <c r="L332" s="238"/>
      <c r="M332" s="254"/>
      <c r="N332" s="238"/>
    </row>
    <row r="333" spans="1:58" ht="25.2" customHeight="1" thickBot="1">
      <c r="B333" s="192">
        <v>9</v>
      </c>
      <c r="C333" s="529" t="s">
        <v>22</v>
      </c>
      <c r="D333" s="529"/>
      <c r="E333" s="529"/>
      <c r="F333" s="529"/>
      <c r="G333" s="529"/>
      <c r="H333" s="529"/>
      <c r="I333" s="529"/>
      <c r="J333" s="529"/>
      <c r="K333" s="529"/>
      <c r="L333" s="529"/>
      <c r="M333" s="529"/>
      <c r="N333" s="534"/>
    </row>
    <row r="334" spans="1:58" ht="25.2" customHeight="1">
      <c r="B334" s="249"/>
      <c r="C334" s="167"/>
      <c r="D334" s="199"/>
      <c r="E334" s="167"/>
      <c r="F334" s="205"/>
      <c r="G334" s="211"/>
      <c r="H334" s="217"/>
      <c r="I334" s="211"/>
      <c r="J334" s="211"/>
      <c r="K334" s="211"/>
      <c r="L334" s="238"/>
      <c r="M334" s="254"/>
      <c r="N334" s="238"/>
    </row>
    <row r="335" spans="1:58" ht="25.2" customHeight="1">
      <c r="B335" s="26" t="s">
        <v>131</v>
      </c>
      <c r="C335" s="533" t="s">
        <v>23</v>
      </c>
      <c r="D335" s="533"/>
      <c r="E335" s="533"/>
      <c r="F335" s="533"/>
      <c r="G335" s="533"/>
      <c r="H335" s="533"/>
      <c r="I335" s="533"/>
      <c r="J335" s="533"/>
      <c r="K335" s="234">
        <f>SUM(K336:K340)</f>
        <v>8002.4049999999997</v>
      </c>
      <c r="L335" s="240">
        <f>SUM(L336:L340)</f>
        <v>1</v>
      </c>
      <c r="M335" s="256">
        <f>K335/K356</f>
        <v>0.32345310173552244</v>
      </c>
      <c r="N335" s="240">
        <f>K335/K398</f>
        <v>1.2312899556709722E-2</v>
      </c>
    </row>
    <row r="336" spans="1:58" s="475" customFormat="1" ht="25.2" customHeight="1">
      <c r="A336" s="473"/>
      <c r="B336" s="22" t="s">
        <v>846</v>
      </c>
      <c r="C336" s="22" t="s">
        <v>231</v>
      </c>
      <c r="D336" s="202" t="s">
        <v>225</v>
      </c>
      <c r="E336" s="22" t="s">
        <v>10</v>
      </c>
      <c r="F336" s="21" t="s">
        <v>970</v>
      </c>
      <c r="G336" s="173">
        <v>6</v>
      </c>
      <c r="H336" s="22" t="s">
        <v>1</v>
      </c>
      <c r="I336" s="19">
        <f>Cotação!E313</f>
        <v>347</v>
      </c>
      <c r="J336" s="19">
        <f t="shared" ref="J336:J339" si="62">I336*$I$3+I336</f>
        <v>418.13499999999999</v>
      </c>
      <c r="K336" s="228">
        <f t="shared" ref="K336:K339" si="63">G336*J336</f>
        <v>2508.81</v>
      </c>
      <c r="L336" s="242">
        <f>K336/K335</f>
        <v>0.3135070019575365</v>
      </c>
      <c r="M336" s="258"/>
      <c r="N336" s="242"/>
      <c r="O336" s="474"/>
      <c r="P336" s="474"/>
      <c r="Q336" s="474"/>
      <c r="R336" s="474"/>
      <c r="S336" s="474"/>
      <c r="T336" s="474"/>
      <c r="U336" s="474"/>
      <c r="V336" s="474"/>
      <c r="W336" s="474"/>
      <c r="X336" s="474"/>
      <c r="Y336" s="474"/>
      <c r="Z336" s="474"/>
      <c r="AA336" s="474"/>
      <c r="AB336" s="474"/>
      <c r="AC336" s="474"/>
      <c r="AD336" s="474"/>
      <c r="AE336" s="474"/>
      <c r="AF336" s="474"/>
      <c r="AG336" s="474"/>
      <c r="AH336" s="474"/>
      <c r="AI336" s="474"/>
      <c r="AJ336" s="474"/>
      <c r="AK336" s="474"/>
      <c r="AL336" s="474"/>
      <c r="AM336" s="474"/>
      <c r="AN336" s="474"/>
      <c r="AO336" s="474"/>
      <c r="AP336" s="474"/>
      <c r="AQ336" s="474"/>
      <c r="AR336" s="474"/>
      <c r="AS336" s="474"/>
      <c r="AT336" s="474"/>
      <c r="AU336" s="474"/>
      <c r="AV336" s="474"/>
      <c r="AW336" s="474"/>
      <c r="AX336" s="474"/>
      <c r="AY336" s="474"/>
      <c r="AZ336" s="474"/>
      <c r="BA336" s="474"/>
      <c r="BB336" s="474"/>
      <c r="BC336" s="474"/>
      <c r="BD336" s="474"/>
      <c r="BE336" s="474"/>
      <c r="BF336" s="474"/>
    </row>
    <row r="337" spans="1:58" s="475" customFormat="1" ht="25.2" customHeight="1">
      <c r="A337" s="473"/>
      <c r="B337" s="22" t="s">
        <v>847</v>
      </c>
      <c r="C337" s="22" t="s">
        <v>231</v>
      </c>
      <c r="D337" s="202" t="s">
        <v>226</v>
      </c>
      <c r="E337" s="22"/>
      <c r="F337" s="21" t="s">
        <v>555</v>
      </c>
      <c r="G337" s="173">
        <v>2</v>
      </c>
      <c r="H337" s="22" t="s">
        <v>1</v>
      </c>
      <c r="I337" s="19">
        <f>Cotação!E319</f>
        <v>612</v>
      </c>
      <c r="J337" s="19">
        <f t="shared" si="62"/>
        <v>737.46</v>
      </c>
      <c r="K337" s="228">
        <f t="shared" si="63"/>
        <v>1474.92</v>
      </c>
      <c r="L337" s="242">
        <f>K337/K335</f>
        <v>0.18430959192892638</v>
      </c>
      <c r="M337" s="258"/>
      <c r="N337" s="242"/>
      <c r="O337" s="474"/>
      <c r="P337" s="474"/>
      <c r="Q337" s="474"/>
      <c r="R337" s="474"/>
      <c r="S337" s="474"/>
      <c r="T337" s="474"/>
      <c r="U337" s="474"/>
      <c r="V337" s="474"/>
      <c r="W337" s="474"/>
      <c r="X337" s="474"/>
      <c r="Y337" s="474"/>
      <c r="Z337" s="474"/>
      <c r="AA337" s="474"/>
      <c r="AB337" s="474"/>
      <c r="AC337" s="474"/>
      <c r="AD337" s="474"/>
      <c r="AE337" s="474"/>
      <c r="AF337" s="474"/>
      <c r="AG337" s="474"/>
      <c r="AH337" s="474"/>
      <c r="AI337" s="474"/>
      <c r="AJ337" s="474"/>
      <c r="AK337" s="474"/>
      <c r="AL337" s="474"/>
      <c r="AM337" s="474"/>
      <c r="AN337" s="474"/>
      <c r="AO337" s="474"/>
      <c r="AP337" s="474"/>
      <c r="AQ337" s="474"/>
      <c r="AR337" s="474"/>
      <c r="AS337" s="474"/>
      <c r="AT337" s="474"/>
      <c r="AU337" s="474"/>
      <c r="AV337" s="474"/>
      <c r="AW337" s="474"/>
      <c r="AX337" s="474"/>
      <c r="AY337" s="474"/>
      <c r="AZ337" s="474"/>
      <c r="BA337" s="474"/>
      <c r="BB337" s="474"/>
      <c r="BC337" s="474"/>
      <c r="BD337" s="474"/>
      <c r="BE337" s="474"/>
      <c r="BF337" s="474"/>
    </row>
    <row r="338" spans="1:58" s="475" customFormat="1" ht="25.2" customHeight="1">
      <c r="A338" s="473"/>
      <c r="B338" s="22" t="s">
        <v>848</v>
      </c>
      <c r="C338" s="22" t="s">
        <v>231</v>
      </c>
      <c r="D338" s="202" t="s">
        <v>227</v>
      </c>
      <c r="E338" s="22"/>
      <c r="F338" s="21" t="s">
        <v>1005</v>
      </c>
      <c r="G338" s="173">
        <v>1</v>
      </c>
      <c r="H338" s="22" t="s">
        <v>1</v>
      </c>
      <c r="I338" s="19">
        <v>1200</v>
      </c>
      <c r="J338" s="19">
        <f>I338*$I$3+I338</f>
        <v>1446</v>
      </c>
      <c r="K338" s="228">
        <f>G338*J338</f>
        <v>1446</v>
      </c>
      <c r="L338" s="242">
        <f>K338/K335</f>
        <v>0.18069567836169254</v>
      </c>
      <c r="M338" s="258"/>
      <c r="N338" s="242"/>
      <c r="O338" s="474"/>
      <c r="P338" s="474"/>
      <c r="Q338" s="474"/>
      <c r="R338" s="474"/>
      <c r="S338" s="474"/>
      <c r="T338" s="474"/>
      <c r="U338" s="474"/>
      <c r="V338" s="474"/>
      <c r="W338" s="474"/>
      <c r="X338" s="474"/>
      <c r="Y338" s="474"/>
      <c r="Z338" s="474"/>
      <c r="AA338" s="474"/>
      <c r="AB338" s="474"/>
      <c r="AC338" s="474"/>
      <c r="AD338" s="474"/>
      <c r="AE338" s="474"/>
      <c r="AF338" s="474"/>
      <c r="AG338" s="474"/>
      <c r="AH338" s="474"/>
      <c r="AI338" s="474"/>
      <c r="AJ338" s="474"/>
      <c r="AK338" s="474"/>
      <c r="AL338" s="474"/>
      <c r="AM338" s="474"/>
      <c r="AN338" s="474"/>
      <c r="AO338" s="474"/>
      <c r="AP338" s="474"/>
      <c r="AQ338" s="474"/>
      <c r="AR338" s="474"/>
      <c r="AS338" s="474"/>
      <c r="AT338" s="474"/>
      <c r="AU338" s="474"/>
      <c r="AV338" s="474"/>
      <c r="AW338" s="474"/>
      <c r="AX338" s="474"/>
      <c r="AY338" s="474"/>
      <c r="AZ338" s="474"/>
      <c r="BA338" s="474"/>
      <c r="BB338" s="474"/>
      <c r="BC338" s="474"/>
      <c r="BD338" s="474"/>
      <c r="BE338" s="474"/>
      <c r="BF338" s="474"/>
    </row>
    <row r="339" spans="1:58" s="475" customFormat="1" ht="25.2" customHeight="1">
      <c r="A339" s="473"/>
      <c r="B339" s="22" t="s">
        <v>849</v>
      </c>
      <c r="C339" s="22" t="s">
        <v>231</v>
      </c>
      <c r="D339" s="202" t="s">
        <v>230</v>
      </c>
      <c r="E339" s="22" t="s">
        <v>10</v>
      </c>
      <c r="F339" s="21" t="s">
        <v>973</v>
      </c>
      <c r="G339" s="173">
        <v>1</v>
      </c>
      <c r="H339" s="22" t="s">
        <v>1</v>
      </c>
      <c r="I339" s="19">
        <v>1650</v>
      </c>
      <c r="J339" s="19">
        <f t="shared" si="62"/>
        <v>1988.25</v>
      </c>
      <c r="K339" s="228">
        <f t="shared" si="63"/>
        <v>1988.25</v>
      </c>
      <c r="L339" s="242">
        <f>K339/K335</f>
        <v>0.24845655774732722</v>
      </c>
      <c r="M339" s="258"/>
      <c r="N339" s="242"/>
      <c r="O339" s="474"/>
      <c r="P339" s="474"/>
      <c r="Q339" s="474"/>
      <c r="R339" s="474"/>
      <c r="S339" s="474"/>
      <c r="T339" s="474"/>
      <c r="U339" s="474"/>
      <c r="V339" s="474"/>
      <c r="W339" s="474"/>
      <c r="X339" s="474"/>
      <c r="Y339" s="474"/>
      <c r="Z339" s="474"/>
      <c r="AA339" s="474"/>
      <c r="AB339" s="474"/>
      <c r="AC339" s="474"/>
      <c r="AD339" s="474"/>
      <c r="AE339" s="474"/>
      <c r="AF339" s="474"/>
      <c r="AG339" s="474"/>
      <c r="AH339" s="474"/>
      <c r="AI339" s="474"/>
      <c r="AJ339" s="474"/>
      <c r="AK339" s="474"/>
      <c r="AL339" s="474"/>
      <c r="AM339" s="474"/>
      <c r="AN339" s="474"/>
      <c r="AO339" s="474"/>
      <c r="AP339" s="474"/>
      <c r="AQ339" s="474"/>
      <c r="AR339" s="474"/>
      <c r="AS339" s="474"/>
      <c r="AT339" s="474"/>
      <c r="AU339" s="474"/>
      <c r="AV339" s="474"/>
      <c r="AW339" s="474"/>
      <c r="AX339" s="474"/>
      <c r="AY339" s="474"/>
      <c r="AZ339" s="474"/>
      <c r="BA339" s="474"/>
      <c r="BB339" s="474"/>
      <c r="BC339" s="474"/>
      <c r="BD339" s="474"/>
      <c r="BE339" s="474"/>
      <c r="BF339" s="474"/>
    </row>
    <row r="340" spans="1:58" s="475" customFormat="1" ht="25.2" customHeight="1">
      <c r="A340" s="473"/>
      <c r="B340" s="22" t="s">
        <v>850</v>
      </c>
      <c r="C340" s="22" t="s">
        <v>231</v>
      </c>
      <c r="D340" s="202" t="s">
        <v>234</v>
      </c>
      <c r="E340" s="22"/>
      <c r="F340" s="21" t="s">
        <v>554</v>
      </c>
      <c r="G340" s="173">
        <v>1</v>
      </c>
      <c r="H340" s="22" t="s">
        <v>1</v>
      </c>
      <c r="I340" s="19">
        <f>Cotação!E341</f>
        <v>485</v>
      </c>
      <c r="J340" s="19">
        <f>I340*$I$3+I340</f>
        <v>584.42499999999995</v>
      </c>
      <c r="K340" s="228">
        <f>G340*J340</f>
        <v>584.42499999999995</v>
      </c>
      <c r="L340" s="242">
        <f>K340/K335</f>
        <v>7.3031170004517393E-2</v>
      </c>
      <c r="M340" s="258"/>
      <c r="N340" s="242"/>
      <c r="O340" s="474"/>
      <c r="P340" s="474"/>
      <c r="Q340" s="474"/>
      <c r="R340" s="474"/>
      <c r="S340" s="474"/>
      <c r="T340" s="474"/>
      <c r="U340" s="474"/>
      <c r="V340" s="474"/>
      <c r="W340" s="474"/>
      <c r="X340" s="474"/>
      <c r="Y340" s="474"/>
      <c r="Z340" s="474"/>
      <c r="AA340" s="474"/>
      <c r="AB340" s="474"/>
      <c r="AC340" s="474"/>
      <c r="AD340" s="474"/>
      <c r="AE340" s="474"/>
      <c r="AF340" s="474"/>
      <c r="AG340" s="474"/>
      <c r="AH340" s="474"/>
      <c r="AI340" s="474"/>
      <c r="AJ340" s="474"/>
      <c r="AK340" s="474"/>
      <c r="AL340" s="474"/>
      <c r="AM340" s="474"/>
      <c r="AN340" s="474"/>
      <c r="AO340" s="474"/>
      <c r="AP340" s="474"/>
      <c r="AQ340" s="474"/>
      <c r="AR340" s="474"/>
      <c r="AS340" s="474"/>
      <c r="AT340" s="474"/>
      <c r="AU340" s="474"/>
      <c r="AV340" s="474"/>
      <c r="AW340" s="474"/>
      <c r="AX340" s="474"/>
      <c r="AY340" s="474"/>
      <c r="AZ340" s="474"/>
      <c r="BA340" s="474"/>
      <c r="BB340" s="474"/>
      <c r="BC340" s="474"/>
      <c r="BD340" s="474"/>
      <c r="BE340" s="474"/>
      <c r="BF340" s="474"/>
    </row>
    <row r="341" spans="1:58" customFormat="1" ht="25.2" customHeight="1">
      <c r="B341" s="494"/>
      <c r="C341" s="495"/>
      <c r="D341" s="496"/>
      <c r="E341" s="495"/>
      <c r="F341" s="495"/>
      <c r="G341" s="498"/>
      <c r="H341" s="495"/>
      <c r="I341" s="495"/>
      <c r="J341" s="495"/>
      <c r="K341" s="495"/>
      <c r="L341" s="496"/>
      <c r="M341" s="496"/>
      <c r="N341" s="501"/>
    </row>
    <row r="342" spans="1:58" ht="25.2" customHeight="1">
      <c r="B342" s="26" t="s">
        <v>132</v>
      </c>
      <c r="C342" s="533" t="s">
        <v>25</v>
      </c>
      <c r="D342" s="533"/>
      <c r="E342" s="533"/>
      <c r="F342" s="533"/>
      <c r="G342" s="533"/>
      <c r="H342" s="533"/>
      <c r="I342" s="533"/>
      <c r="J342" s="533"/>
      <c r="K342" s="234">
        <f>SUM(K343:K347)</f>
        <v>1642.8849500000001</v>
      </c>
      <c r="L342" s="240">
        <f>SUM(L343:L347)</f>
        <v>1</v>
      </c>
      <c r="M342" s="256">
        <f>K342/K356</f>
        <v>6.6404566236288806E-2</v>
      </c>
      <c r="N342" s="240">
        <f>K342/K398</f>
        <v>2.5278247442587667E-3</v>
      </c>
    </row>
    <row r="343" spans="1:58" s="475" customFormat="1" ht="25.2" customHeight="1">
      <c r="A343" s="473"/>
      <c r="B343" s="22" t="s">
        <v>851</v>
      </c>
      <c r="C343" s="22" t="s">
        <v>231</v>
      </c>
      <c r="D343" s="202" t="s">
        <v>236</v>
      </c>
      <c r="E343" s="22" t="s">
        <v>10</v>
      </c>
      <c r="F343" s="21" t="s">
        <v>278</v>
      </c>
      <c r="G343" s="173">
        <v>1</v>
      </c>
      <c r="H343" s="16" t="s">
        <v>1</v>
      </c>
      <c r="I343" s="19">
        <f>Cotação!E347</f>
        <v>45.99</v>
      </c>
      <c r="J343" s="19">
        <f>I343*$I$3+I343</f>
        <v>55.417950000000005</v>
      </c>
      <c r="K343" s="228">
        <f>G343*J343</f>
        <v>55.417950000000005</v>
      </c>
      <c r="L343" s="242">
        <f>K343/K342</f>
        <v>3.373209426503055E-2</v>
      </c>
      <c r="M343" s="258"/>
      <c r="N343" s="242"/>
      <c r="O343" s="474"/>
      <c r="P343" s="474"/>
      <c r="Q343" s="474"/>
      <c r="R343" s="474"/>
      <c r="S343" s="474"/>
      <c r="T343" s="474"/>
      <c r="U343" s="474"/>
      <c r="V343" s="474"/>
      <c r="W343" s="474"/>
      <c r="X343" s="474"/>
      <c r="Y343" s="474"/>
      <c r="Z343" s="474"/>
      <c r="AA343" s="474"/>
      <c r="AB343" s="474"/>
      <c r="AC343" s="474"/>
      <c r="AD343" s="474"/>
      <c r="AE343" s="474"/>
      <c r="AF343" s="474"/>
      <c r="AG343" s="474"/>
      <c r="AH343" s="474"/>
      <c r="AI343" s="474"/>
      <c r="AJ343" s="474"/>
      <c r="AK343" s="474"/>
      <c r="AL343" s="474"/>
      <c r="AM343" s="474"/>
      <c r="AN343" s="474"/>
      <c r="AO343" s="474"/>
      <c r="AP343" s="474"/>
      <c r="AQ343" s="474"/>
      <c r="AR343" s="474"/>
      <c r="AS343" s="474"/>
      <c r="AT343" s="474"/>
      <c r="AU343" s="474"/>
      <c r="AV343" s="474"/>
      <c r="AW343" s="474"/>
      <c r="AX343" s="474"/>
      <c r="AY343" s="474"/>
      <c r="AZ343" s="474"/>
      <c r="BA343" s="474"/>
      <c r="BB343" s="474"/>
      <c r="BC343" s="474"/>
      <c r="BD343" s="474"/>
      <c r="BE343" s="474"/>
      <c r="BF343" s="474"/>
    </row>
    <row r="344" spans="1:58" s="475" customFormat="1" ht="25.2" customHeight="1">
      <c r="A344" s="473"/>
      <c r="B344" s="22" t="s">
        <v>852</v>
      </c>
      <c r="C344" s="22" t="s">
        <v>231</v>
      </c>
      <c r="D344" s="202" t="s">
        <v>237</v>
      </c>
      <c r="E344" s="22"/>
      <c r="F344" s="21" t="s">
        <v>971</v>
      </c>
      <c r="G344" s="173">
        <v>9</v>
      </c>
      <c r="H344" s="16" t="s">
        <v>1</v>
      </c>
      <c r="I344" s="19">
        <f>Cotação!E354</f>
        <v>36</v>
      </c>
      <c r="J344" s="19">
        <f>I344*$I$3+I344</f>
        <v>43.38</v>
      </c>
      <c r="K344" s="228">
        <f>G344*J344</f>
        <v>390.42</v>
      </c>
      <c r="L344" s="242">
        <f>K344/K342</f>
        <v>0.23764293415677099</v>
      </c>
      <c r="M344" s="258"/>
      <c r="N344" s="242"/>
      <c r="O344" s="474"/>
      <c r="P344" s="474"/>
      <c r="Q344" s="474"/>
      <c r="R344" s="474"/>
      <c r="S344" s="474"/>
      <c r="T344" s="474"/>
      <c r="U344" s="474"/>
      <c r="V344" s="474"/>
      <c r="W344" s="474"/>
      <c r="X344" s="474"/>
      <c r="Y344" s="474"/>
      <c r="Z344" s="474"/>
      <c r="AA344" s="474"/>
      <c r="AB344" s="474"/>
      <c r="AC344" s="474"/>
      <c r="AD344" s="474"/>
      <c r="AE344" s="474"/>
      <c r="AF344" s="474"/>
      <c r="AG344" s="474"/>
      <c r="AH344" s="474"/>
      <c r="AI344" s="474"/>
      <c r="AJ344" s="474"/>
      <c r="AK344" s="474"/>
      <c r="AL344" s="474"/>
      <c r="AM344" s="474"/>
      <c r="AN344" s="474"/>
      <c r="AO344" s="474"/>
      <c r="AP344" s="474"/>
      <c r="AQ344" s="474"/>
      <c r="AR344" s="474"/>
      <c r="AS344" s="474"/>
      <c r="AT344" s="474"/>
      <c r="AU344" s="474"/>
      <c r="AV344" s="474"/>
      <c r="AW344" s="474"/>
      <c r="AX344" s="474"/>
      <c r="AY344" s="474"/>
      <c r="AZ344" s="474"/>
      <c r="BA344" s="474"/>
      <c r="BB344" s="474"/>
      <c r="BC344" s="474"/>
      <c r="BD344" s="474"/>
      <c r="BE344" s="474"/>
      <c r="BF344" s="474"/>
    </row>
    <row r="345" spans="1:58" s="475" customFormat="1" ht="25.2" customHeight="1">
      <c r="A345" s="473"/>
      <c r="B345" s="22" t="s">
        <v>853</v>
      </c>
      <c r="C345" s="22" t="s">
        <v>231</v>
      </c>
      <c r="D345" s="202" t="s">
        <v>238</v>
      </c>
      <c r="E345" s="22"/>
      <c r="F345" s="21" t="s">
        <v>279</v>
      </c>
      <c r="G345" s="173">
        <v>1</v>
      </c>
      <c r="H345" s="16" t="s">
        <v>1</v>
      </c>
      <c r="I345" s="19">
        <f>Cotação!E361</f>
        <v>14.53</v>
      </c>
      <c r="J345" s="19">
        <f>I345*$I$3+I345</f>
        <v>17.508649999999999</v>
      </c>
      <c r="K345" s="228">
        <f>G345*J345</f>
        <v>17.508649999999999</v>
      </c>
      <c r="L345" s="242">
        <f>K345/K342</f>
        <v>1.065725874474655E-2</v>
      </c>
      <c r="M345" s="258"/>
      <c r="N345" s="242"/>
      <c r="O345" s="474"/>
      <c r="P345" s="474"/>
      <c r="Q345" s="474"/>
      <c r="R345" s="474"/>
      <c r="S345" s="474"/>
      <c r="T345" s="474"/>
      <c r="U345" s="474"/>
      <c r="V345" s="474"/>
      <c r="W345" s="474"/>
      <c r="X345" s="474"/>
      <c r="Y345" s="474"/>
      <c r="Z345" s="474"/>
      <c r="AA345" s="474"/>
      <c r="AB345" s="474"/>
      <c r="AC345" s="474"/>
      <c r="AD345" s="474"/>
      <c r="AE345" s="474"/>
      <c r="AF345" s="474"/>
      <c r="AG345" s="474"/>
      <c r="AH345" s="474"/>
      <c r="AI345" s="474"/>
      <c r="AJ345" s="474"/>
      <c r="AK345" s="474"/>
      <c r="AL345" s="474"/>
      <c r="AM345" s="474"/>
      <c r="AN345" s="474"/>
      <c r="AO345" s="474"/>
      <c r="AP345" s="474"/>
      <c r="AQ345" s="474"/>
      <c r="AR345" s="474"/>
      <c r="AS345" s="474"/>
      <c r="AT345" s="474"/>
      <c r="AU345" s="474"/>
      <c r="AV345" s="474"/>
      <c r="AW345" s="474"/>
      <c r="AX345" s="474"/>
      <c r="AY345" s="474"/>
      <c r="AZ345" s="474"/>
      <c r="BA345" s="474"/>
      <c r="BB345" s="474"/>
      <c r="BC345" s="474"/>
      <c r="BD345" s="474"/>
      <c r="BE345" s="474"/>
      <c r="BF345" s="474"/>
    </row>
    <row r="346" spans="1:58" s="475" customFormat="1" ht="25.2" customHeight="1">
      <c r="A346" s="473"/>
      <c r="B346" s="22" t="s">
        <v>854</v>
      </c>
      <c r="C346" s="22" t="s">
        <v>231</v>
      </c>
      <c r="D346" s="202" t="s">
        <v>239</v>
      </c>
      <c r="E346" s="22"/>
      <c r="F346" s="21" t="s">
        <v>57</v>
      </c>
      <c r="G346" s="173">
        <v>27</v>
      </c>
      <c r="H346" s="16" t="s">
        <v>1</v>
      </c>
      <c r="I346" s="19">
        <f>Cotação!E367</f>
        <v>10.199999999999999</v>
      </c>
      <c r="J346" s="19">
        <f>I346*$I$3+I346</f>
        <v>12.290999999999999</v>
      </c>
      <c r="K346" s="228">
        <f>G346*J346</f>
        <v>331.85699999999997</v>
      </c>
      <c r="L346" s="242">
        <f>K346/K342</f>
        <v>0.20199649403325531</v>
      </c>
      <c r="M346" s="258"/>
      <c r="N346" s="242"/>
      <c r="O346" s="474"/>
      <c r="P346" s="474"/>
      <c r="Q346" s="474"/>
      <c r="R346" s="474"/>
      <c r="S346" s="474"/>
      <c r="T346" s="474"/>
      <c r="U346" s="474"/>
      <c r="V346" s="474"/>
      <c r="W346" s="474"/>
      <c r="X346" s="474"/>
      <c r="Y346" s="474"/>
      <c r="Z346" s="474"/>
      <c r="AA346" s="474"/>
      <c r="AB346" s="474"/>
      <c r="AC346" s="474"/>
      <c r="AD346" s="474"/>
      <c r="AE346" s="474"/>
      <c r="AF346" s="474"/>
      <c r="AG346" s="474"/>
      <c r="AH346" s="474"/>
      <c r="AI346" s="474"/>
      <c r="AJ346" s="474"/>
      <c r="AK346" s="474"/>
      <c r="AL346" s="474"/>
      <c r="AM346" s="474"/>
      <c r="AN346" s="474"/>
      <c r="AO346" s="474"/>
      <c r="AP346" s="474"/>
      <c r="AQ346" s="474"/>
      <c r="AR346" s="474"/>
      <c r="AS346" s="474"/>
      <c r="AT346" s="474"/>
      <c r="AU346" s="474"/>
      <c r="AV346" s="474"/>
      <c r="AW346" s="474"/>
      <c r="AX346" s="474"/>
      <c r="AY346" s="474"/>
      <c r="AZ346" s="474"/>
      <c r="BA346" s="474"/>
      <c r="BB346" s="474"/>
      <c r="BC346" s="474"/>
      <c r="BD346" s="474"/>
      <c r="BE346" s="474"/>
      <c r="BF346" s="474"/>
    </row>
    <row r="347" spans="1:58" s="475" customFormat="1" ht="25.2" customHeight="1">
      <c r="A347" s="473"/>
      <c r="B347" s="22" t="s">
        <v>855</v>
      </c>
      <c r="C347" s="22" t="s">
        <v>10</v>
      </c>
      <c r="D347" s="202" t="s">
        <v>588</v>
      </c>
      <c r="E347" s="22"/>
      <c r="F347" s="21" t="s">
        <v>587</v>
      </c>
      <c r="G347" s="173">
        <v>3</v>
      </c>
      <c r="H347" s="16" t="s">
        <v>1</v>
      </c>
      <c r="I347" s="19">
        <v>234.49</v>
      </c>
      <c r="J347" s="19">
        <f>I347*$I$3+I347</f>
        <v>282.56045</v>
      </c>
      <c r="K347" s="228">
        <f>G347*J347</f>
        <v>847.68135000000007</v>
      </c>
      <c r="L347" s="242">
        <f>K347/K342</f>
        <v>0.51597121880019658</v>
      </c>
      <c r="M347" s="258"/>
      <c r="N347" s="242"/>
      <c r="O347" s="474"/>
      <c r="P347" s="474"/>
      <c r="Q347" s="474"/>
      <c r="R347" s="474"/>
      <c r="S347" s="474"/>
      <c r="T347" s="474"/>
      <c r="U347" s="474"/>
      <c r="V347" s="474"/>
      <c r="W347" s="474"/>
      <c r="X347" s="474"/>
      <c r="Y347" s="474"/>
      <c r="Z347" s="474"/>
      <c r="AA347" s="474"/>
      <c r="AB347" s="474"/>
      <c r="AC347" s="474"/>
      <c r="AD347" s="474"/>
      <c r="AE347" s="474"/>
      <c r="AF347" s="474"/>
      <c r="AG347" s="474"/>
      <c r="AH347" s="474"/>
      <c r="AI347" s="474"/>
      <c r="AJ347" s="474"/>
      <c r="AK347" s="474"/>
      <c r="AL347" s="474"/>
      <c r="AM347" s="474"/>
      <c r="AN347" s="474"/>
      <c r="AO347" s="474"/>
      <c r="AP347" s="474"/>
      <c r="AQ347" s="474"/>
      <c r="AR347" s="474"/>
      <c r="AS347" s="474"/>
      <c r="AT347" s="474"/>
      <c r="AU347" s="474"/>
      <c r="AV347" s="474"/>
      <c r="AW347" s="474"/>
      <c r="AX347" s="474"/>
      <c r="AY347" s="474"/>
      <c r="AZ347" s="474"/>
      <c r="BA347" s="474"/>
      <c r="BB347" s="474"/>
      <c r="BC347" s="474"/>
      <c r="BD347" s="474"/>
      <c r="BE347" s="474"/>
      <c r="BF347" s="474"/>
    </row>
    <row r="348" spans="1:58" s="32" customFormat="1" ht="25.2" customHeight="1">
      <c r="A348" s="14"/>
      <c r="B348" s="299"/>
      <c r="C348" s="265"/>
      <c r="D348" s="520"/>
      <c r="E348" s="265"/>
      <c r="F348" s="266"/>
      <c r="G348" s="267"/>
      <c r="H348" s="279"/>
      <c r="I348" s="268"/>
      <c r="J348" s="268"/>
      <c r="K348" s="269"/>
      <c r="L348" s="244"/>
      <c r="M348" s="261"/>
      <c r="N348" s="244"/>
      <c r="O348" s="177"/>
      <c r="P348" s="177"/>
      <c r="Q348" s="177"/>
      <c r="R348" s="177"/>
      <c r="S348" s="177"/>
      <c r="T348" s="177"/>
      <c r="U348" s="177"/>
      <c r="V348" s="177"/>
      <c r="W348" s="177"/>
      <c r="X348" s="177"/>
      <c r="Y348" s="177"/>
      <c r="Z348" s="177"/>
      <c r="AA348" s="177"/>
      <c r="AB348" s="177"/>
      <c r="AC348" s="177"/>
      <c r="AD348" s="177"/>
      <c r="AE348" s="177"/>
      <c r="AF348" s="177"/>
      <c r="AG348" s="177"/>
      <c r="AH348" s="177"/>
      <c r="AI348" s="177"/>
      <c r="AJ348" s="177"/>
      <c r="AK348" s="177"/>
      <c r="AL348" s="177"/>
      <c r="AM348" s="177"/>
      <c r="AN348" s="177"/>
      <c r="AO348" s="177"/>
      <c r="AP348" s="177"/>
      <c r="AQ348" s="177"/>
      <c r="AR348" s="177"/>
      <c r="AS348" s="177"/>
      <c r="AT348" s="177"/>
      <c r="AU348" s="177"/>
      <c r="AV348" s="177"/>
      <c r="AW348" s="177"/>
      <c r="AX348" s="177"/>
      <c r="AY348" s="177"/>
      <c r="AZ348" s="177"/>
      <c r="BA348" s="177"/>
      <c r="BB348" s="177"/>
      <c r="BC348" s="177"/>
      <c r="BD348" s="177"/>
      <c r="BE348" s="177"/>
      <c r="BF348" s="177"/>
    </row>
    <row r="349" spans="1:58" s="23" customFormat="1" ht="25.2" customHeight="1">
      <c r="A349" s="14"/>
      <c r="B349" s="187" t="s">
        <v>133</v>
      </c>
      <c r="C349" s="537" t="s">
        <v>58</v>
      </c>
      <c r="D349" s="538"/>
      <c r="E349" s="538"/>
      <c r="F349" s="538"/>
      <c r="G349" s="538"/>
      <c r="H349" s="538"/>
      <c r="I349" s="538"/>
      <c r="J349" s="539"/>
      <c r="K349" s="234">
        <f>SUM(K350:K354)</f>
        <v>15095.251899999999</v>
      </c>
      <c r="L349" s="240">
        <f>SUM(L350:L354)</f>
        <v>1</v>
      </c>
      <c r="M349" s="256">
        <f>K349/K356</f>
        <v>0.61014233202818879</v>
      </c>
      <c r="N349" s="240">
        <f>K349/K398</f>
        <v>2.3226307644755743E-2</v>
      </c>
      <c r="O349" s="178"/>
      <c r="P349" s="178"/>
      <c r="Q349" s="178"/>
      <c r="R349" s="178"/>
      <c r="S349" s="178"/>
      <c r="T349" s="178"/>
      <c r="U349" s="178"/>
      <c r="V349" s="178"/>
      <c r="W349" s="178"/>
      <c r="X349" s="178"/>
      <c r="Y349" s="178"/>
      <c r="Z349" s="178"/>
      <c r="AA349" s="178"/>
      <c r="AB349" s="178"/>
      <c r="AC349" s="178"/>
      <c r="AD349" s="178"/>
      <c r="AE349" s="178"/>
      <c r="AF349" s="178"/>
      <c r="AG349" s="178"/>
      <c r="AH349" s="178"/>
      <c r="AI349" s="178"/>
      <c r="AJ349" s="178"/>
      <c r="AK349" s="178"/>
      <c r="AL349" s="178"/>
      <c r="AM349" s="178"/>
      <c r="AN349" s="178"/>
      <c r="AO349" s="178"/>
      <c r="AP349" s="178"/>
      <c r="AQ349" s="178"/>
      <c r="AR349" s="178"/>
      <c r="AS349" s="178"/>
      <c r="AT349" s="178"/>
      <c r="AU349" s="178"/>
      <c r="AV349" s="178"/>
      <c r="AW349" s="178"/>
      <c r="AX349" s="178"/>
      <c r="AY349" s="178"/>
      <c r="AZ349" s="178"/>
      <c r="BA349" s="178"/>
      <c r="BB349" s="178"/>
      <c r="BC349" s="178"/>
      <c r="BD349" s="178"/>
      <c r="BE349" s="178"/>
      <c r="BF349" s="178"/>
    </row>
    <row r="350" spans="1:58" s="475" customFormat="1" ht="25.2" customHeight="1">
      <c r="A350" s="473"/>
      <c r="B350" s="300" t="s">
        <v>856</v>
      </c>
      <c r="C350" s="22" t="s">
        <v>231</v>
      </c>
      <c r="D350" s="202" t="s">
        <v>240</v>
      </c>
      <c r="E350" s="22" t="s">
        <v>10</v>
      </c>
      <c r="F350" s="21" t="s">
        <v>975</v>
      </c>
      <c r="G350" s="173">
        <v>1</v>
      </c>
      <c r="H350" s="16" t="s">
        <v>1</v>
      </c>
      <c r="I350" s="19">
        <f>Cotação!E374</f>
        <v>381.16</v>
      </c>
      <c r="J350" s="19">
        <f t="shared" ref="J350:J354" si="64">I350*$I$3+I350</f>
        <v>459.29780000000005</v>
      </c>
      <c r="K350" s="228">
        <f t="shared" ref="K350:K354" si="65">G350*J350</f>
        <v>459.29780000000005</v>
      </c>
      <c r="L350" s="242">
        <f>K350/K349</f>
        <v>3.042664031330276E-2</v>
      </c>
      <c r="M350" s="258"/>
      <c r="N350" s="242"/>
      <c r="O350" s="474"/>
      <c r="P350" s="474"/>
      <c r="Q350" s="474"/>
      <c r="R350" s="474"/>
      <c r="S350" s="474"/>
      <c r="T350" s="474"/>
      <c r="U350" s="474"/>
      <c r="V350" s="474"/>
      <c r="W350" s="474"/>
      <c r="X350" s="474"/>
      <c r="Y350" s="474"/>
      <c r="Z350" s="474"/>
      <c r="AA350" s="474"/>
      <c r="AB350" s="474"/>
      <c r="AC350" s="474"/>
      <c r="AD350" s="474"/>
      <c r="AE350" s="474"/>
      <c r="AF350" s="474"/>
      <c r="AG350" s="474"/>
      <c r="AH350" s="474"/>
      <c r="AI350" s="474"/>
      <c r="AJ350" s="474"/>
      <c r="AK350" s="474"/>
      <c r="AL350" s="474"/>
      <c r="AM350" s="474"/>
      <c r="AN350" s="474"/>
      <c r="AO350" s="474"/>
      <c r="AP350" s="474"/>
      <c r="AQ350" s="474"/>
      <c r="AR350" s="474"/>
      <c r="AS350" s="474"/>
      <c r="AT350" s="474"/>
      <c r="AU350" s="474"/>
      <c r="AV350" s="474"/>
      <c r="AW350" s="474"/>
      <c r="AX350" s="474"/>
      <c r="AY350" s="474"/>
      <c r="AZ350" s="474"/>
      <c r="BA350" s="474"/>
      <c r="BB350" s="474"/>
      <c r="BC350" s="474"/>
      <c r="BD350" s="474"/>
      <c r="BE350" s="474"/>
      <c r="BF350" s="474"/>
    </row>
    <row r="351" spans="1:58" s="475" customFormat="1" ht="25.2" customHeight="1">
      <c r="A351" s="473"/>
      <c r="B351" s="300" t="s">
        <v>857</v>
      </c>
      <c r="C351" s="22" t="s">
        <v>231</v>
      </c>
      <c r="D351" s="202" t="s">
        <v>242</v>
      </c>
      <c r="E351" s="22" t="s">
        <v>10</v>
      </c>
      <c r="F351" s="21" t="s">
        <v>974</v>
      </c>
      <c r="G351" s="173">
        <v>6</v>
      </c>
      <c r="H351" s="16" t="s">
        <v>1</v>
      </c>
      <c r="I351" s="19">
        <f>Cotação!E383</f>
        <v>519.54999999999995</v>
      </c>
      <c r="J351" s="19">
        <f t="shared" si="64"/>
        <v>626.05774999999994</v>
      </c>
      <c r="K351" s="228">
        <f t="shared" si="65"/>
        <v>3756.3464999999997</v>
      </c>
      <c r="L351" s="242">
        <f>K351/K349</f>
        <v>0.24884291596352889</v>
      </c>
      <c r="M351" s="258"/>
      <c r="N351" s="242"/>
      <c r="O351" s="474"/>
      <c r="P351" s="474"/>
      <c r="Q351" s="474"/>
      <c r="R351" s="474"/>
      <c r="S351" s="474"/>
      <c r="T351" s="474"/>
      <c r="U351" s="474"/>
      <c r="V351" s="474"/>
      <c r="W351" s="474"/>
      <c r="X351" s="474"/>
      <c r="Y351" s="474"/>
      <c r="Z351" s="474"/>
      <c r="AA351" s="474"/>
      <c r="AB351" s="474"/>
      <c r="AC351" s="474"/>
      <c r="AD351" s="474"/>
      <c r="AE351" s="474"/>
      <c r="AF351" s="474"/>
      <c r="AG351" s="474"/>
      <c r="AH351" s="474"/>
      <c r="AI351" s="474"/>
      <c r="AJ351" s="474"/>
      <c r="AK351" s="474"/>
      <c r="AL351" s="474"/>
      <c r="AM351" s="474"/>
      <c r="AN351" s="474"/>
      <c r="AO351" s="474"/>
      <c r="AP351" s="474"/>
      <c r="AQ351" s="474"/>
      <c r="AR351" s="474"/>
      <c r="AS351" s="474"/>
      <c r="AT351" s="474"/>
      <c r="AU351" s="474"/>
      <c r="AV351" s="474"/>
      <c r="AW351" s="474"/>
      <c r="AX351" s="474"/>
      <c r="AY351" s="474"/>
      <c r="AZ351" s="474"/>
      <c r="BA351" s="474"/>
      <c r="BB351" s="474"/>
      <c r="BC351" s="474"/>
      <c r="BD351" s="474"/>
      <c r="BE351" s="474"/>
      <c r="BF351" s="474"/>
    </row>
    <row r="352" spans="1:58" s="475" customFormat="1" ht="25.2" customHeight="1">
      <c r="A352" s="473"/>
      <c r="B352" s="300" t="s">
        <v>858</v>
      </c>
      <c r="C352" s="22" t="s">
        <v>231</v>
      </c>
      <c r="D352" s="202" t="s">
        <v>243</v>
      </c>
      <c r="E352" s="22" t="s">
        <v>10</v>
      </c>
      <c r="F352" s="21" t="s">
        <v>977</v>
      </c>
      <c r="G352" s="173">
        <v>5</v>
      </c>
      <c r="H352" s="16" t="s">
        <v>1</v>
      </c>
      <c r="I352" s="19">
        <f>Cotação!E389</f>
        <v>725.65</v>
      </c>
      <c r="J352" s="19">
        <f t="shared" si="64"/>
        <v>874.40824999999995</v>
      </c>
      <c r="K352" s="228">
        <f t="shared" si="65"/>
        <v>4372.0412500000002</v>
      </c>
      <c r="L352" s="242">
        <f>K352/K349</f>
        <v>0.28963022803216687</v>
      </c>
      <c r="M352" s="258"/>
      <c r="N352" s="242"/>
      <c r="O352" s="474"/>
      <c r="P352" s="474"/>
      <c r="Q352" s="474"/>
      <c r="R352" s="474"/>
      <c r="S352" s="474"/>
      <c r="T352" s="474"/>
      <c r="U352" s="474"/>
      <c r="V352" s="474"/>
      <c r="W352" s="474"/>
      <c r="X352" s="474"/>
      <c r="Y352" s="474"/>
      <c r="Z352" s="474"/>
      <c r="AA352" s="474"/>
      <c r="AB352" s="474"/>
      <c r="AC352" s="474"/>
      <c r="AD352" s="474"/>
      <c r="AE352" s="474"/>
      <c r="AF352" s="474"/>
      <c r="AG352" s="474"/>
      <c r="AH352" s="474"/>
      <c r="AI352" s="474"/>
      <c r="AJ352" s="474"/>
      <c r="AK352" s="474"/>
      <c r="AL352" s="474"/>
      <c r="AM352" s="474"/>
      <c r="AN352" s="474"/>
      <c r="AO352" s="474"/>
      <c r="AP352" s="474"/>
      <c r="AQ352" s="474"/>
      <c r="AR352" s="474"/>
      <c r="AS352" s="474"/>
      <c r="AT352" s="474"/>
      <c r="AU352" s="474"/>
      <c r="AV352" s="474"/>
      <c r="AW352" s="474"/>
      <c r="AX352" s="474"/>
      <c r="AY352" s="474"/>
      <c r="AZ352" s="474"/>
      <c r="BA352" s="474"/>
      <c r="BB352" s="474"/>
      <c r="BC352" s="474"/>
      <c r="BD352" s="474"/>
      <c r="BE352" s="474"/>
      <c r="BF352" s="474"/>
    </row>
    <row r="353" spans="1:58" s="475" customFormat="1" ht="25.2" customHeight="1">
      <c r="A353" s="473"/>
      <c r="B353" s="300" t="s">
        <v>859</v>
      </c>
      <c r="C353" s="22" t="s">
        <v>231</v>
      </c>
      <c r="D353" s="202" t="s">
        <v>244</v>
      </c>
      <c r="E353" s="22" t="s">
        <v>10</v>
      </c>
      <c r="F353" s="21" t="s">
        <v>976</v>
      </c>
      <c r="G353" s="173">
        <v>1</v>
      </c>
      <c r="H353" s="16" t="s">
        <v>1</v>
      </c>
      <c r="I353" s="19">
        <f>Cotação!E395</f>
        <v>800.47</v>
      </c>
      <c r="J353" s="19">
        <f t="shared" si="64"/>
        <v>964.56635000000006</v>
      </c>
      <c r="K353" s="228">
        <f t="shared" si="65"/>
        <v>964.56635000000006</v>
      </c>
      <c r="L353" s="242">
        <f>K353/K349</f>
        <v>6.3898658756400092E-2</v>
      </c>
      <c r="M353" s="258"/>
      <c r="N353" s="242"/>
      <c r="O353" s="474"/>
      <c r="P353" s="474"/>
      <c r="Q353" s="474"/>
      <c r="R353" s="474"/>
      <c r="S353" s="474"/>
      <c r="T353" s="474"/>
      <c r="U353" s="474"/>
      <c r="V353" s="474"/>
      <c r="W353" s="474"/>
      <c r="X353" s="474"/>
      <c r="Y353" s="474"/>
      <c r="Z353" s="474"/>
      <c r="AA353" s="474"/>
      <c r="AB353" s="474"/>
      <c r="AC353" s="474"/>
      <c r="AD353" s="474"/>
      <c r="AE353" s="474"/>
      <c r="AF353" s="474"/>
      <c r="AG353" s="474"/>
      <c r="AH353" s="474"/>
      <c r="AI353" s="474"/>
      <c r="AJ353" s="474"/>
      <c r="AK353" s="474"/>
      <c r="AL353" s="474"/>
      <c r="AM353" s="474"/>
      <c r="AN353" s="474"/>
      <c r="AO353" s="474"/>
      <c r="AP353" s="474"/>
      <c r="AQ353" s="474"/>
      <c r="AR353" s="474"/>
      <c r="AS353" s="474"/>
      <c r="AT353" s="474"/>
      <c r="AU353" s="474"/>
      <c r="AV353" s="474"/>
      <c r="AW353" s="474"/>
      <c r="AX353" s="474"/>
      <c r="AY353" s="474"/>
      <c r="AZ353" s="474"/>
      <c r="BA353" s="474"/>
      <c r="BB353" s="474"/>
      <c r="BC353" s="474"/>
      <c r="BD353" s="474"/>
      <c r="BE353" s="474"/>
      <c r="BF353" s="474"/>
    </row>
    <row r="354" spans="1:58" s="475" customFormat="1" ht="25.2" customHeight="1">
      <c r="A354" s="473"/>
      <c r="B354" s="300" t="s">
        <v>860</v>
      </c>
      <c r="C354" s="22" t="s">
        <v>231</v>
      </c>
      <c r="D354" s="202" t="s">
        <v>245</v>
      </c>
      <c r="E354" s="22"/>
      <c r="F354" s="21" t="s">
        <v>978</v>
      </c>
      <c r="G354" s="173">
        <v>2</v>
      </c>
      <c r="H354" s="16" t="s">
        <v>1</v>
      </c>
      <c r="I354" s="19">
        <v>2300</v>
      </c>
      <c r="J354" s="19">
        <f t="shared" si="64"/>
        <v>2771.5</v>
      </c>
      <c r="K354" s="228">
        <f t="shared" si="65"/>
        <v>5543</v>
      </c>
      <c r="L354" s="242">
        <f>K354/K349</f>
        <v>0.36720155693460144</v>
      </c>
      <c r="M354" s="258"/>
      <c r="N354" s="242"/>
      <c r="O354" s="474"/>
      <c r="P354" s="474"/>
      <c r="Q354" s="474"/>
      <c r="R354" s="474"/>
      <c r="S354" s="474"/>
      <c r="T354" s="474"/>
      <c r="U354" s="474"/>
      <c r="V354" s="474"/>
      <c r="W354" s="474"/>
      <c r="X354" s="474"/>
      <c r="Y354" s="474"/>
      <c r="Z354" s="474"/>
      <c r="AA354" s="474"/>
      <c r="AB354" s="474"/>
      <c r="AC354" s="474"/>
      <c r="AD354" s="474"/>
      <c r="AE354" s="474"/>
      <c r="AF354" s="474"/>
      <c r="AG354" s="474"/>
      <c r="AH354" s="474"/>
      <c r="AI354" s="474"/>
      <c r="AJ354" s="474"/>
      <c r="AK354" s="474"/>
      <c r="AL354" s="474"/>
      <c r="AM354" s="474"/>
      <c r="AN354" s="474"/>
      <c r="AO354" s="474"/>
      <c r="AP354" s="474"/>
      <c r="AQ354" s="474"/>
      <c r="AR354" s="474"/>
      <c r="AS354" s="474"/>
      <c r="AT354" s="474"/>
      <c r="AU354" s="474"/>
      <c r="AV354" s="474"/>
      <c r="AW354" s="474"/>
      <c r="AX354" s="474"/>
      <c r="AY354" s="474"/>
      <c r="AZ354" s="474"/>
      <c r="BA354" s="474"/>
      <c r="BB354" s="474"/>
      <c r="BC354" s="474"/>
      <c r="BD354" s="474"/>
      <c r="BE354" s="474"/>
      <c r="BF354" s="474"/>
    </row>
    <row r="355" spans="1:58" ht="25.2" customHeight="1" thickBot="1">
      <c r="B355" s="2"/>
      <c r="C355" s="28"/>
      <c r="D355" s="168"/>
      <c r="E355" s="28"/>
      <c r="F355" s="190"/>
      <c r="G355" s="209"/>
      <c r="H355" s="2"/>
      <c r="I355" s="29"/>
      <c r="J355" s="212"/>
      <c r="K355" s="231"/>
    </row>
    <row r="356" spans="1:58" ht="25.2" customHeight="1" thickBot="1">
      <c r="B356" s="535" t="s">
        <v>448</v>
      </c>
      <c r="C356" s="536"/>
      <c r="D356" s="536"/>
      <c r="E356" s="536"/>
      <c r="F356" s="536"/>
      <c r="G356" s="536"/>
      <c r="H356" s="536"/>
      <c r="I356" s="536"/>
      <c r="J356" s="536"/>
      <c r="K356" s="232">
        <f>SUM(K349,K342,K335)</f>
        <v>24740.541849999998</v>
      </c>
      <c r="L356" s="243"/>
      <c r="M356" s="260">
        <f>SUM(M335:M355)</f>
        <v>1</v>
      </c>
      <c r="N356" s="311">
        <f>SUM(N335:N355)</f>
        <v>3.8067031945724236E-2</v>
      </c>
    </row>
    <row r="357" spans="1:58" ht="25.2" customHeight="1" thickBot="1">
      <c r="B357" s="2"/>
      <c r="C357" s="28"/>
      <c r="D357" s="168"/>
      <c r="E357" s="28"/>
      <c r="F357" s="190"/>
      <c r="G357" s="212"/>
      <c r="H357" s="2"/>
      <c r="I357" s="29"/>
      <c r="J357" s="29"/>
      <c r="K357" s="231"/>
      <c r="L357" s="238"/>
      <c r="M357" s="254"/>
      <c r="N357" s="238"/>
    </row>
    <row r="358" spans="1:58" ht="25.2" customHeight="1" thickBot="1">
      <c r="B358" s="192">
        <v>10</v>
      </c>
      <c r="C358" s="529" t="s">
        <v>63</v>
      </c>
      <c r="D358" s="529"/>
      <c r="E358" s="529"/>
      <c r="F358" s="529"/>
      <c r="G358" s="529"/>
      <c r="H358" s="529"/>
      <c r="I358" s="529"/>
      <c r="J358" s="529"/>
      <c r="K358" s="529"/>
      <c r="L358" s="529"/>
      <c r="M358" s="529"/>
      <c r="N358" s="534"/>
    </row>
    <row r="359" spans="1:58" customFormat="1" ht="25.2" customHeight="1">
      <c r="B359" s="494"/>
      <c r="C359" s="495"/>
      <c r="D359" s="496"/>
      <c r="E359" s="495"/>
      <c r="F359" s="495"/>
      <c r="G359" s="498"/>
      <c r="H359" s="495"/>
      <c r="I359" s="495"/>
      <c r="J359" s="495"/>
      <c r="K359" s="495"/>
      <c r="L359" s="496"/>
      <c r="M359" s="496"/>
      <c r="N359" s="501"/>
    </row>
    <row r="360" spans="1:58" s="32" customFormat="1" ht="25.2" customHeight="1">
      <c r="A360" s="14"/>
      <c r="B360" s="26" t="s">
        <v>31</v>
      </c>
      <c r="C360" s="533" t="s">
        <v>433</v>
      </c>
      <c r="D360" s="533"/>
      <c r="E360" s="533"/>
      <c r="F360" s="533"/>
      <c r="G360" s="533"/>
      <c r="H360" s="533"/>
      <c r="I360" s="533"/>
      <c r="J360" s="533"/>
      <c r="K360" s="234">
        <f>SUM(K361:K362)</f>
        <v>2916.1000000000004</v>
      </c>
      <c r="L360" s="240">
        <f>SUM(L361:L362)</f>
        <v>1</v>
      </c>
      <c r="M360" s="256">
        <f>K360/K370</f>
        <v>0.40033085194375517</v>
      </c>
      <c r="N360" s="240">
        <f>K360/K398</f>
        <v>4.4868569382980773E-3</v>
      </c>
      <c r="O360" s="177"/>
      <c r="P360" s="177"/>
      <c r="Q360" s="177"/>
      <c r="R360" s="177"/>
      <c r="S360" s="177"/>
      <c r="T360" s="177"/>
      <c r="U360" s="177"/>
      <c r="V360" s="177"/>
      <c r="W360" s="177"/>
      <c r="X360" s="177"/>
      <c r="Y360" s="177"/>
      <c r="Z360" s="177"/>
      <c r="AA360" s="177"/>
      <c r="AB360" s="177"/>
      <c r="AC360" s="177"/>
      <c r="AD360" s="177"/>
      <c r="AE360" s="177"/>
      <c r="AF360" s="177"/>
      <c r="AG360" s="177"/>
      <c r="AH360" s="177"/>
      <c r="AI360" s="177"/>
      <c r="AJ360" s="177"/>
      <c r="AK360" s="177"/>
      <c r="AL360" s="177"/>
      <c r="AM360" s="177"/>
      <c r="AN360" s="177"/>
      <c r="AO360" s="177"/>
      <c r="AP360" s="177"/>
      <c r="AQ360" s="177"/>
      <c r="AR360" s="177"/>
      <c r="AS360" s="177"/>
      <c r="AT360" s="177"/>
      <c r="AU360" s="177"/>
      <c r="AV360" s="177"/>
      <c r="AW360" s="177"/>
      <c r="AX360" s="177"/>
      <c r="AY360" s="177"/>
      <c r="AZ360" s="177"/>
      <c r="BA360" s="177"/>
      <c r="BB360" s="177"/>
      <c r="BC360" s="177"/>
      <c r="BD360" s="177"/>
      <c r="BE360" s="177"/>
      <c r="BF360" s="177"/>
    </row>
    <row r="361" spans="1:58" s="483" customFormat="1" ht="25.2" customHeight="1">
      <c r="A361" s="481"/>
      <c r="B361" s="35" t="s">
        <v>861</v>
      </c>
      <c r="C361" s="31" t="s">
        <v>231</v>
      </c>
      <c r="D361" s="44" t="s">
        <v>246</v>
      </c>
      <c r="E361" s="35"/>
      <c r="F361" s="479" t="s">
        <v>159</v>
      </c>
      <c r="G361" s="174">
        <v>7</v>
      </c>
      <c r="H361" s="35" t="s">
        <v>15</v>
      </c>
      <c r="I361" s="34">
        <v>220</v>
      </c>
      <c r="J361" s="34">
        <f>I361*$I$3+I361</f>
        <v>265.10000000000002</v>
      </c>
      <c r="K361" s="233">
        <f>G361*J361</f>
        <v>1855.7000000000003</v>
      </c>
      <c r="L361" s="285">
        <f>K361/K360</f>
        <v>0.63636363636363635</v>
      </c>
      <c r="M361" s="282"/>
      <c r="N361" s="285"/>
      <c r="O361" s="482"/>
      <c r="P361" s="482"/>
      <c r="Q361" s="482"/>
      <c r="R361" s="482"/>
      <c r="S361" s="482"/>
      <c r="T361" s="482"/>
      <c r="U361" s="482"/>
      <c r="V361" s="482"/>
      <c r="W361" s="482"/>
      <c r="X361" s="482"/>
      <c r="Y361" s="482"/>
      <c r="Z361" s="482"/>
      <c r="AA361" s="482"/>
      <c r="AB361" s="482"/>
      <c r="AC361" s="482"/>
      <c r="AD361" s="482"/>
      <c r="AE361" s="482"/>
      <c r="AF361" s="482"/>
      <c r="AG361" s="482"/>
      <c r="AH361" s="482"/>
      <c r="AI361" s="482"/>
      <c r="AJ361" s="482"/>
      <c r="AK361" s="482"/>
      <c r="AL361" s="482"/>
      <c r="AM361" s="482"/>
      <c r="AN361" s="482"/>
      <c r="AO361" s="482"/>
      <c r="AP361" s="482"/>
      <c r="AQ361" s="482"/>
      <c r="AR361" s="482"/>
      <c r="AS361" s="482"/>
      <c r="AT361" s="482"/>
      <c r="AU361" s="482"/>
      <c r="AV361" s="482"/>
      <c r="AW361" s="482"/>
      <c r="AX361" s="482"/>
      <c r="AY361" s="482"/>
      <c r="AZ361" s="482"/>
      <c r="BA361" s="482"/>
      <c r="BB361" s="482"/>
      <c r="BC361" s="482"/>
      <c r="BD361" s="482"/>
      <c r="BE361" s="482"/>
      <c r="BF361" s="482"/>
    </row>
    <row r="362" spans="1:58" s="483" customFormat="1" ht="25.2" customHeight="1">
      <c r="A362" s="481"/>
      <c r="B362" s="35" t="s">
        <v>862</v>
      </c>
      <c r="C362" s="31" t="s">
        <v>231</v>
      </c>
      <c r="D362" s="44" t="s">
        <v>247</v>
      </c>
      <c r="E362" s="35"/>
      <c r="F362" s="33" t="s">
        <v>265</v>
      </c>
      <c r="G362" s="174">
        <v>4</v>
      </c>
      <c r="H362" s="35" t="s">
        <v>15</v>
      </c>
      <c r="I362" s="34">
        <v>220</v>
      </c>
      <c r="J362" s="34">
        <f>I362*$I$3+I362</f>
        <v>265.10000000000002</v>
      </c>
      <c r="K362" s="233">
        <f>G362*J362</f>
        <v>1060.4000000000001</v>
      </c>
      <c r="L362" s="285">
        <f>K362/K360</f>
        <v>0.36363636363636365</v>
      </c>
      <c r="M362" s="282"/>
      <c r="N362" s="285"/>
      <c r="O362" s="482"/>
      <c r="P362" s="482"/>
      <c r="Q362" s="482"/>
      <c r="R362" s="482"/>
      <c r="S362" s="482"/>
      <c r="T362" s="482"/>
      <c r="U362" s="482"/>
      <c r="V362" s="482"/>
      <c r="W362" s="482"/>
      <c r="X362" s="482"/>
      <c r="Y362" s="482"/>
      <c r="Z362" s="482"/>
      <c r="AA362" s="482"/>
      <c r="AB362" s="482"/>
      <c r="AC362" s="482"/>
      <c r="AD362" s="482"/>
      <c r="AE362" s="482"/>
      <c r="AF362" s="482"/>
      <c r="AG362" s="482"/>
      <c r="AH362" s="482"/>
      <c r="AI362" s="482"/>
      <c r="AJ362" s="482"/>
      <c r="AK362" s="482"/>
      <c r="AL362" s="482"/>
      <c r="AM362" s="482"/>
      <c r="AN362" s="482"/>
      <c r="AO362" s="482"/>
      <c r="AP362" s="482"/>
      <c r="AQ362" s="482"/>
      <c r="AR362" s="482"/>
      <c r="AS362" s="482"/>
      <c r="AT362" s="482"/>
      <c r="AU362" s="482"/>
      <c r="AV362" s="482"/>
      <c r="AW362" s="482"/>
      <c r="AX362" s="482"/>
      <c r="AY362" s="482"/>
      <c r="AZ362" s="482"/>
      <c r="BA362" s="482"/>
      <c r="BB362" s="482"/>
      <c r="BC362" s="482"/>
      <c r="BD362" s="482"/>
      <c r="BE362" s="482"/>
      <c r="BF362" s="482"/>
    </row>
    <row r="363" spans="1:58" ht="25.2" customHeight="1">
      <c r="B363" s="299"/>
      <c r="C363" s="264"/>
      <c r="D363" s="276"/>
      <c r="E363" s="264"/>
      <c r="F363" s="195"/>
      <c r="G363" s="196"/>
      <c r="H363" s="264"/>
      <c r="I363" s="197"/>
      <c r="J363" s="197"/>
      <c r="K363" s="227"/>
    </row>
    <row r="364" spans="1:58" ht="25.2" customHeight="1">
      <c r="B364" s="26" t="s">
        <v>70</v>
      </c>
      <c r="C364" s="533" t="s">
        <v>145</v>
      </c>
      <c r="D364" s="533"/>
      <c r="E364" s="533"/>
      <c r="F364" s="533"/>
      <c r="G364" s="533"/>
      <c r="H364" s="533"/>
      <c r="I364" s="533"/>
      <c r="J364" s="533"/>
      <c r="K364" s="234">
        <f>SUM(K365:K368)</f>
        <v>4368.125</v>
      </c>
      <c r="L364" s="240">
        <f>SUM(L365:L368)</f>
        <v>1</v>
      </c>
      <c r="M364" s="256">
        <f>K364/K370</f>
        <v>0.59966914805624483</v>
      </c>
      <c r="N364" s="240">
        <f>K364/K398</f>
        <v>6.7210150418721189E-3</v>
      </c>
    </row>
    <row r="365" spans="1:58" s="475" customFormat="1" ht="25.2" customHeight="1">
      <c r="A365" s="473"/>
      <c r="B365" s="22" t="s">
        <v>863</v>
      </c>
      <c r="C365" s="16" t="s">
        <v>231</v>
      </c>
      <c r="D365" s="180" t="s">
        <v>248</v>
      </c>
      <c r="E365" s="22"/>
      <c r="F365" s="21" t="s">
        <v>984</v>
      </c>
      <c r="G365" s="173">
        <v>2</v>
      </c>
      <c r="H365" s="16" t="s">
        <v>1</v>
      </c>
      <c r="I365" s="19">
        <v>590</v>
      </c>
      <c r="J365" s="19">
        <f t="shared" ref="J365:J368" si="66">I365*$I$3+I365</f>
        <v>710.95</v>
      </c>
      <c r="K365" s="228">
        <f t="shared" ref="K365:K368" si="67">G365*J365</f>
        <v>1421.9</v>
      </c>
      <c r="L365" s="242">
        <f>K365/K364</f>
        <v>0.32551724137931037</v>
      </c>
      <c r="M365" s="258"/>
      <c r="N365" s="242"/>
      <c r="O365" s="474"/>
      <c r="P365" s="474"/>
      <c r="Q365" s="474"/>
      <c r="R365" s="474"/>
      <c r="S365" s="474"/>
      <c r="T365" s="474"/>
      <c r="U365" s="474"/>
      <c r="V365" s="474"/>
      <c r="W365" s="474"/>
      <c r="X365" s="474"/>
      <c r="Y365" s="474"/>
      <c r="Z365" s="474"/>
      <c r="AA365" s="474"/>
      <c r="AB365" s="474"/>
      <c r="AC365" s="474"/>
      <c r="AD365" s="474"/>
      <c r="AE365" s="474"/>
      <c r="AF365" s="474"/>
      <c r="AG365" s="474"/>
      <c r="AH365" s="474"/>
      <c r="AI365" s="474"/>
      <c r="AJ365" s="474"/>
      <c r="AK365" s="474"/>
      <c r="AL365" s="474"/>
      <c r="AM365" s="474"/>
      <c r="AN365" s="474"/>
      <c r="AO365" s="474"/>
      <c r="AP365" s="474"/>
      <c r="AQ365" s="474"/>
      <c r="AR365" s="474"/>
      <c r="AS365" s="474"/>
      <c r="AT365" s="474"/>
      <c r="AU365" s="474"/>
      <c r="AV365" s="474"/>
      <c r="AW365" s="474"/>
      <c r="AX365" s="474"/>
      <c r="AY365" s="474"/>
      <c r="AZ365" s="474"/>
      <c r="BA365" s="474"/>
      <c r="BB365" s="474"/>
      <c r="BC365" s="474"/>
      <c r="BD365" s="474"/>
      <c r="BE365" s="474"/>
      <c r="BF365" s="474"/>
    </row>
    <row r="366" spans="1:58" s="475" customFormat="1" ht="25.2" customHeight="1">
      <c r="A366" s="473"/>
      <c r="B366" s="22" t="s">
        <v>864</v>
      </c>
      <c r="C366" s="16" t="s">
        <v>231</v>
      </c>
      <c r="D366" s="180" t="s">
        <v>249</v>
      </c>
      <c r="E366" s="22"/>
      <c r="F366" s="21" t="s">
        <v>982</v>
      </c>
      <c r="G366" s="173">
        <v>1</v>
      </c>
      <c r="H366" s="16" t="s">
        <v>1</v>
      </c>
      <c r="I366" s="19">
        <v>950</v>
      </c>
      <c r="J366" s="19">
        <f t="shared" si="66"/>
        <v>1144.75</v>
      </c>
      <c r="K366" s="228">
        <f t="shared" si="67"/>
        <v>1144.75</v>
      </c>
      <c r="L366" s="242">
        <f>K366/K364</f>
        <v>0.2620689655172414</v>
      </c>
      <c r="M366" s="258"/>
      <c r="N366" s="242"/>
      <c r="O366" s="474"/>
      <c r="P366" s="474"/>
      <c r="Q366" s="474"/>
      <c r="R366" s="474"/>
      <c r="S366" s="474"/>
      <c r="T366" s="474"/>
      <c r="U366" s="474"/>
      <c r="V366" s="474"/>
      <c r="W366" s="474"/>
      <c r="X366" s="474"/>
      <c r="Y366" s="474"/>
      <c r="Z366" s="474"/>
      <c r="AA366" s="474"/>
      <c r="AB366" s="474"/>
      <c r="AC366" s="474"/>
      <c r="AD366" s="474"/>
      <c r="AE366" s="474"/>
      <c r="AF366" s="474"/>
      <c r="AG366" s="474"/>
      <c r="AH366" s="474"/>
      <c r="AI366" s="474"/>
      <c r="AJ366" s="474"/>
      <c r="AK366" s="474"/>
      <c r="AL366" s="474"/>
      <c r="AM366" s="474"/>
      <c r="AN366" s="474"/>
      <c r="AO366" s="474"/>
      <c r="AP366" s="474"/>
      <c r="AQ366" s="474"/>
      <c r="AR366" s="474"/>
      <c r="AS366" s="474"/>
      <c r="AT366" s="474"/>
      <c r="AU366" s="474"/>
      <c r="AV366" s="474"/>
      <c r="AW366" s="474"/>
      <c r="AX366" s="474"/>
      <c r="AY366" s="474"/>
      <c r="AZ366" s="474"/>
      <c r="BA366" s="474"/>
      <c r="BB366" s="474"/>
      <c r="BC366" s="474"/>
      <c r="BD366" s="474"/>
      <c r="BE366" s="474"/>
      <c r="BF366" s="474"/>
    </row>
    <row r="367" spans="1:58" s="475" customFormat="1" ht="25.2" customHeight="1">
      <c r="A367" s="473"/>
      <c r="B367" s="22" t="s">
        <v>865</v>
      </c>
      <c r="C367" s="16" t="s">
        <v>231</v>
      </c>
      <c r="D367" s="180" t="s">
        <v>254</v>
      </c>
      <c r="E367" s="22"/>
      <c r="F367" s="21" t="s">
        <v>985</v>
      </c>
      <c r="G367" s="173">
        <v>1</v>
      </c>
      <c r="H367" s="16" t="s">
        <v>1</v>
      </c>
      <c r="I367" s="19">
        <v>795</v>
      </c>
      <c r="J367" s="19">
        <f t="shared" si="66"/>
        <v>957.97500000000002</v>
      </c>
      <c r="K367" s="228">
        <f t="shared" si="67"/>
        <v>957.97500000000002</v>
      </c>
      <c r="L367" s="242">
        <f>K367/K364</f>
        <v>0.21931034482758621</v>
      </c>
      <c r="M367" s="258"/>
      <c r="N367" s="242"/>
      <c r="O367" s="474"/>
      <c r="P367" s="474"/>
      <c r="Q367" s="474"/>
      <c r="R367" s="474"/>
      <c r="S367" s="474"/>
      <c r="T367" s="474"/>
      <c r="U367" s="474"/>
      <c r="V367" s="474"/>
      <c r="W367" s="474"/>
      <c r="X367" s="474"/>
      <c r="Y367" s="474"/>
      <c r="Z367" s="474"/>
      <c r="AA367" s="474"/>
      <c r="AB367" s="474"/>
      <c r="AC367" s="474"/>
      <c r="AD367" s="474"/>
      <c r="AE367" s="474"/>
      <c r="AF367" s="474"/>
      <c r="AG367" s="474"/>
      <c r="AH367" s="474"/>
      <c r="AI367" s="474"/>
      <c r="AJ367" s="474"/>
      <c r="AK367" s="474"/>
      <c r="AL367" s="474"/>
      <c r="AM367" s="474"/>
      <c r="AN367" s="474"/>
      <c r="AO367" s="474"/>
      <c r="AP367" s="474"/>
      <c r="AQ367" s="474"/>
      <c r="AR367" s="474"/>
      <c r="AS367" s="474"/>
      <c r="AT367" s="474"/>
      <c r="AU367" s="474"/>
      <c r="AV367" s="474"/>
      <c r="AW367" s="474"/>
      <c r="AX367" s="474"/>
      <c r="AY367" s="474"/>
      <c r="AZ367" s="474"/>
      <c r="BA367" s="474"/>
      <c r="BB367" s="474"/>
      <c r="BC367" s="474"/>
      <c r="BD367" s="474"/>
      <c r="BE367" s="474"/>
      <c r="BF367" s="474"/>
    </row>
    <row r="368" spans="1:58" s="475" customFormat="1" ht="25.2" customHeight="1">
      <c r="A368" s="473"/>
      <c r="B368" s="22" t="s">
        <v>866</v>
      </c>
      <c r="C368" s="16" t="s">
        <v>231</v>
      </c>
      <c r="D368" s="180" t="s">
        <v>256</v>
      </c>
      <c r="E368" s="22"/>
      <c r="F368" s="21" t="s">
        <v>983</v>
      </c>
      <c r="G368" s="173">
        <v>1</v>
      </c>
      <c r="H368" s="22" t="s">
        <v>617</v>
      </c>
      <c r="I368" s="19">
        <v>700</v>
      </c>
      <c r="J368" s="19">
        <f t="shared" si="66"/>
        <v>843.5</v>
      </c>
      <c r="K368" s="228">
        <f t="shared" si="67"/>
        <v>843.5</v>
      </c>
      <c r="L368" s="242">
        <f>K368/K364</f>
        <v>0.19310344827586207</v>
      </c>
      <c r="M368" s="258"/>
      <c r="N368" s="242"/>
      <c r="O368" s="474"/>
      <c r="P368" s="474"/>
      <c r="Q368" s="474"/>
      <c r="R368" s="474"/>
      <c r="S368" s="474"/>
      <c r="T368" s="474"/>
      <c r="U368" s="474"/>
      <c r="V368" s="474"/>
      <c r="W368" s="474"/>
      <c r="X368" s="474"/>
      <c r="Y368" s="474"/>
      <c r="Z368" s="474"/>
      <c r="AA368" s="474"/>
      <c r="AB368" s="474"/>
      <c r="AC368" s="474"/>
      <c r="AD368" s="474"/>
      <c r="AE368" s="474"/>
      <c r="AF368" s="474"/>
      <c r="AG368" s="474"/>
      <c r="AH368" s="474"/>
      <c r="AI368" s="474"/>
      <c r="AJ368" s="474"/>
      <c r="AK368" s="474"/>
      <c r="AL368" s="474"/>
      <c r="AM368" s="474"/>
      <c r="AN368" s="474"/>
      <c r="AO368" s="474"/>
      <c r="AP368" s="474"/>
      <c r="AQ368" s="474"/>
      <c r="AR368" s="474"/>
      <c r="AS368" s="474"/>
      <c r="AT368" s="474"/>
      <c r="AU368" s="474"/>
      <c r="AV368" s="474"/>
      <c r="AW368" s="474"/>
      <c r="AX368" s="474"/>
      <c r="AY368" s="474"/>
      <c r="AZ368" s="474"/>
      <c r="BA368" s="474"/>
      <c r="BB368" s="474"/>
      <c r="BC368" s="474"/>
      <c r="BD368" s="474"/>
      <c r="BE368" s="474"/>
      <c r="BF368" s="474"/>
    </row>
    <row r="369" spans="1:58" customFormat="1" ht="25.2" customHeight="1" thickBot="1">
      <c r="B369" s="494"/>
      <c r="C369" s="495"/>
      <c r="D369" s="496"/>
      <c r="E369" s="495"/>
      <c r="F369" s="495"/>
      <c r="G369" s="498"/>
      <c r="H369" s="495"/>
      <c r="I369" s="495"/>
      <c r="J369" s="495"/>
      <c r="K369" s="495"/>
      <c r="L369" s="496"/>
      <c r="M369" s="496"/>
      <c r="N369" s="501"/>
    </row>
    <row r="370" spans="1:58" ht="25.2" customHeight="1" thickBot="1">
      <c r="B370" s="535" t="s">
        <v>448</v>
      </c>
      <c r="C370" s="536"/>
      <c r="D370" s="536"/>
      <c r="E370" s="536"/>
      <c r="F370" s="536"/>
      <c r="G370" s="536"/>
      <c r="H370" s="536"/>
      <c r="I370" s="536"/>
      <c r="J370" s="536"/>
      <c r="K370" s="232">
        <f>SUM(K360,K364)</f>
        <v>7284.2250000000004</v>
      </c>
      <c r="L370" s="243"/>
      <c r="M370" s="260">
        <f>SUM(M360:M369)</f>
        <v>1</v>
      </c>
      <c r="N370" s="311">
        <f>SUM(N360:N369)</f>
        <v>1.1207871980170196E-2</v>
      </c>
    </row>
    <row r="371" spans="1:58" ht="25.2" customHeight="1" thickBot="1">
      <c r="B371" s="2"/>
      <c r="C371" s="28"/>
      <c r="D371" s="168"/>
      <c r="E371" s="28"/>
      <c r="F371" s="190"/>
      <c r="G371" s="212"/>
      <c r="H371" s="2"/>
      <c r="I371" s="29"/>
      <c r="J371" s="29"/>
      <c r="K371" s="231"/>
      <c r="L371" s="238"/>
      <c r="M371" s="254"/>
      <c r="N371" s="238"/>
    </row>
    <row r="372" spans="1:58" ht="25.2" customHeight="1" thickBot="1">
      <c r="B372" s="192">
        <v>11</v>
      </c>
      <c r="C372" s="270" t="s">
        <v>66</v>
      </c>
      <c r="D372" s="271"/>
      <c r="E372" s="270"/>
      <c r="F372" s="270"/>
      <c r="G372" s="182"/>
      <c r="H372" s="270"/>
      <c r="I372" s="270"/>
      <c r="J372" s="270"/>
      <c r="K372" s="272">
        <f>SUM(K373:K374)</f>
        <v>1563.9694999999997</v>
      </c>
      <c r="L372" s="284">
        <f>SUM(L373:L374)</f>
        <v>1</v>
      </c>
      <c r="M372" s="274">
        <f>K372/K376</f>
        <v>1</v>
      </c>
      <c r="N372" s="312">
        <f>K372/K398</f>
        <v>2.4064014959574681E-3</v>
      </c>
    </row>
    <row r="373" spans="1:58" s="483" customFormat="1" ht="25.2" customHeight="1">
      <c r="A373" s="481"/>
      <c r="B373" s="279" t="s">
        <v>71</v>
      </c>
      <c r="C373" s="279" t="s">
        <v>10</v>
      </c>
      <c r="D373" s="280" t="s">
        <v>889</v>
      </c>
      <c r="E373" s="301"/>
      <c r="F373" s="485" t="s">
        <v>988</v>
      </c>
      <c r="G373" s="267">
        <v>100</v>
      </c>
      <c r="H373" s="279" t="s">
        <v>15</v>
      </c>
      <c r="I373" s="268">
        <v>8.5299999999999994</v>
      </c>
      <c r="J373" s="302">
        <f>I373*$I$3+I373</f>
        <v>10.278649999999999</v>
      </c>
      <c r="K373" s="269">
        <f>G373*J373</f>
        <v>1027.8649999999998</v>
      </c>
      <c r="L373" s="303">
        <f>K373/K372</f>
        <v>0.65721550196471223</v>
      </c>
      <c r="M373" s="304"/>
      <c r="N373" s="303"/>
      <c r="O373" s="482"/>
      <c r="P373" s="482"/>
      <c r="Q373" s="482"/>
      <c r="R373" s="482"/>
      <c r="S373" s="482"/>
      <c r="T373" s="482"/>
      <c r="U373" s="482"/>
      <c r="V373" s="482"/>
      <c r="W373" s="482"/>
      <c r="X373" s="482"/>
      <c r="Y373" s="482"/>
      <c r="Z373" s="482"/>
      <c r="AA373" s="482"/>
      <c r="AB373" s="482"/>
      <c r="AC373" s="482"/>
      <c r="AD373" s="482"/>
      <c r="AE373" s="482"/>
      <c r="AF373" s="482"/>
      <c r="AG373" s="482"/>
      <c r="AH373" s="482"/>
      <c r="AI373" s="482"/>
      <c r="AJ373" s="482"/>
      <c r="AK373" s="482"/>
      <c r="AL373" s="482"/>
      <c r="AM373" s="482"/>
      <c r="AN373" s="482"/>
      <c r="AO373" s="482"/>
      <c r="AP373" s="482"/>
      <c r="AQ373" s="482"/>
      <c r="AR373" s="482"/>
      <c r="AS373" s="482"/>
      <c r="AT373" s="482"/>
      <c r="AU373" s="482"/>
      <c r="AV373" s="482"/>
      <c r="AW373" s="482"/>
      <c r="AX373" s="482"/>
      <c r="AY373" s="482"/>
      <c r="AZ373" s="482"/>
      <c r="BA373" s="482"/>
      <c r="BB373" s="482"/>
      <c r="BC373" s="482"/>
      <c r="BD373" s="482"/>
      <c r="BE373" s="482"/>
      <c r="BF373" s="482"/>
    </row>
    <row r="374" spans="1:58" s="483" customFormat="1" ht="25.2" customHeight="1">
      <c r="A374" s="481"/>
      <c r="B374" s="279" t="s">
        <v>72</v>
      </c>
      <c r="C374" s="279" t="s">
        <v>10</v>
      </c>
      <c r="D374" s="280" t="s">
        <v>986</v>
      </c>
      <c r="E374" s="301"/>
      <c r="F374" s="485" t="s">
        <v>987</v>
      </c>
      <c r="G374" s="267">
        <v>30</v>
      </c>
      <c r="H374" s="279" t="s">
        <v>15</v>
      </c>
      <c r="I374" s="268">
        <v>14.83</v>
      </c>
      <c r="J374" s="302">
        <f>I374*$I$3+I374</f>
        <v>17.870149999999999</v>
      </c>
      <c r="K374" s="269">
        <f>G374*J374</f>
        <v>536.10449999999992</v>
      </c>
      <c r="L374" s="303">
        <f>K374/K372</f>
        <v>0.34278449803528777</v>
      </c>
      <c r="M374" s="304"/>
      <c r="N374" s="303"/>
      <c r="O374" s="482"/>
      <c r="P374" s="482"/>
      <c r="Q374" s="482"/>
      <c r="R374" s="482"/>
      <c r="S374" s="482"/>
      <c r="T374" s="482"/>
      <c r="U374" s="482"/>
      <c r="V374" s="482"/>
      <c r="W374" s="482"/>
      <c r="X374" s="482"/>
      <c r="Y374" s="482"/>
      <c r="Z374" s="482"/>
      <c r="AA374" s="482"/>
      <c r="AB374" s="482"/>
      <c r="AC374" s="482"/>
      <c r="AD374" s="482"/>
      <c r="AE374" s="482"/>
      <c r="AF374" s="482"/>
      <c r="AG374" s="482"/>
      <c r="AH374" s="482"/>
      <c r="AI374" s="482"/>
      <c r="AJ374" s="482"/>
      <c r="AK374" s="482"/>
      <c r="AL374" s="482"/>
      <c r="AM374" s="482"/>
      <c r="AN374" s="482"/>
      <c r="AO374" s="482"/>
      <c r="AP374" s="482"/>
      <c r="AQ374" s="482"/>
      <c r="AR374" s="482"/>
      <c r="AS374" s="482"/>
      <c r="AT374" s="482"/>
      <c r="AU374" s="482"/>
      <c r="AV374" s="482"/>
      <c r="AW374" s="482"/>
      <c r="AX374" s="482"/>
      <c r="AY374" s="482"/>
      <c r="AZ374" s="482"/>
      <c r="BA374" s="482"/>
      <c r="BB374" s="482"/>
      <c r="BC374" s="482"/>
      <c r="BD374" s="482"/>
      <c r="BE374" s="482"/>
      <c r="BF374" s="482"/>
    </row>
    <row r="375" spans="1:58" customFormat="1" ht="25.2" customHeight="1" thickBot="1">
      <c r="B375" s="494"/>
      <c r="C375" s="495"/>
      <c r="D375" s="496"/>
      <c r="E375" s="495"/>
      <c r="F375" s="495"/>
      <c r="G375" s="498"/>
      <c r="H375" s="495"/>
      <c r="I375" s="495"/>
      <c r="J375" s="495"/>
      <c r="K375" s="495"/>
      <c r="L375" s="496"/>
      <c r="M375" s="496"/>
      <c r="N375" s="501"/>
    </row>
    <row r="376" spans="1:58" ht="25.2" customHeight="1" thickBot="1">
      <c r="B376" s="535" t="s">
        <v>448</v>
      </c>
      <c r="C376" s="536"/>
      <c r="D376" s="536"/>
      <c r="E376" s="536"/>
      <c r="F376" s="536"/>
      <c r="G376" s="536"/>
      <c r="H376" s="536"/>
      <c r="I376" s="536"/>
      <c r="J376" s="536"/>
      <c r="K376" s="232">
        <f>K372</f>
        <v>1563.9694999999997</v>
      </c>
      <c r="L376" s="243"/>
      <c r="M376" s="260">
        <f>SUM(M372:M375)</f>
        <v>1</v>
      </c>
      <c r="N376" s="311">
        <f>SUM(N372:N375)</f>
        <v>2.4064014959574681E-3</v>
      </c>
    </row>
    <row r="377" spans="1:58" ht="25.2" customHeight="1" thickBot="1">
      <c r="B377" s="2"/>
      <c r="C377" s="28"/>
      <c r="D377" s="168"/>
      <c r="E377" s="28"/>
      <c r="F377" s="190"/>
      <c r="G377" s="209"/>
      <c r="H377" s="2"/>
      <c r="I377" s="29"/>
      <c r="J377" s="212"/>
      <c r="K377" s="231"/>
    </row>
    <row r="378" spans="1:58" ht="25.2" customHeight="1" thickBot="1">
      <c r="B378" s="192">
        <v>12</v>
      </c>
      <c r="C378" s="270" t="s">
        <v>67</v>
      </c>
      <c r="D378" s="271"/>
      <c r="E378" s="270"/>
      <c r="F378" s="270"/>
      <c r="G378" s="182"/>
      <c r="H378" s="270"/>
      <c r="I378" s="270"/>
      <c r="J378" s="270"/>
      <c r="K378" s="277">
        <f>SUM(K379:K380)</f>
        <v>4374.1499999999996</v>
      </c>
      <c r="L378" s="284">
        <f>SUM(L379:L380)</f>
        <v>1</v>
      </c>
      <c r="M378" s="274">
        <f>K378/K382</f>
        <v>1</v>
      </c>
      <c r="N378" s="313">
        <f>K378/K398</f>
        <v>6.7302854074471142E-3</v>
      </c>
    </row>
    <row r="379" spans="1:58" s="483" customFormat="1" ht="25.2" customHeight="1">
      <c r="A379" s="473"/>
      <c r="B379" s="194" t="s">
        <v>73</v>
      </c>
      <c r="C379" s="279" t="s">
        <v>10</v>
      </c>
      <c r="D379" s="44" t="s">
        <v>964</v>
      </c>
      <c r="E379" s="35"/>
      <c r="F379" s="519" t="s">
        <v>963</v>
      </c>
      <c r="G379" s="267">
        <v>60</v>
      </c>
      <c r="H379" s="279" t="s">
        <v>15</v>
      </c>
      <c r="I379" s="268">
        <v>53</v>
      </c>
      <c r="J379" s="268">
        <f>I379*$I$3+I379</f>
        <v>63.865000000000002</v>
      </c>
      <c r="K379" s="269">
        <f>G379*J379</f>
        <v>3831.9</v>
      </c>
      <c r="L379" s="303">
        <f>K379/K378</f>
        <v>0.87603305785123975</v>
      </c>
      <c r="M379" s="304"/>
      <c r="N379" s="303"/>
      <c r="O379" s="482"/>
      <c r="P379" s="482"/>
      <c r="Q379" s="482"/>
      <c r="R379" s="482"/>
      <c r="S379" s="482"/>
      <c r="T379" s="482"/>
      <c r="U379" s="482"/>
      <c r="V379" s="482"/>
      <c r="W379" s="482"/>
      <c r="X379" s="482"/>
      <c r="Y379" s="482"/>
      <c r="Z379" s="482"/>
      <c r="AA379" s="482"/>
      <c r="AB379" s="482"/>
      <c r="AC379" s="482"/>
      <c r="AD379" s="482"/>
      <c r="AE379" s="482"/>
      <c r="AF379" s="482"/>
      <c r="AG379" s="482"/>
      <c r="AH379" s="482"/>
      <c r="AI379" s="482"/>
      <c r="AJ379" s="482"/>
      <c r="AK379" s="482"/>
      <c r="AL379" s="482"/>
      <c r="AM379" s="482"/>
      <c r="AN379" s="482"/>
      <c r="AO379" s="482"/>
      <c r="AP379" s="482"/>
      <c r="AQ379" s="482"/>
      <c r="AR379" s="482"/>
      <c r="AS379" s="482"/>
      <c r="AT379" s="482"/>
      <c r="AU379" s="482"/>
      <c r="AV379" s="482"/>
      <c r="AW379" s="482"/>
      <c r="AX379" s="482"/>
      <c r="AY379" s="482"/>
      <c r="AZ379" s="482"/>
      <c r="BA379" s="482"/>
      <c r="BB379" s="482"/>
      <c r="BC379" s="482"/>
      <c r="BD379" s="482"/>
      <c r="BE379" s="482"/>
      <c r="BF379" s="482"/>
    </row>
    <row r="380" spans="1:58" s="475" customFormat="1" ht="25.2" customHeight="1">
      <c r="A380" s="473"/>
      <c r="B380" s="194" t="s">
        <v>74</v>
      </c>
      <c r="C380" s="16" t="s">
        <v>231</v>
      </c>
      <c r="D380" s="45" t="s">
        <v>257</v>
      </c>
      <c r="E380" s="16"/>
      <c r="F380" s="21" t="s">
        <v>270</v>
      </c>
      <c r="G380" s="173">
        <v>30</v>
      </c>
      <c r="H380" s="16" t="s">
        <v>13</v>
      </c>
      <c r="I380" s="19">
        <f>Cotação!E452</f>
        <v>15</v>
      </c>
      <c r="J380" s="19">
        <f>I380*$I$3+I380</f>
        <v>18.074999999999999</v>
      </c>
      <c r="K380" s="228">
        <f>G380*J380</f>
        <v>542.25</v>
      </c>
      <c r="L380" s="242">
        <f>K380/K378</f>
        <v>0.12396694214876033</v>
      </c>
      <c r="M380" s="258"/>
      <c r="N380" s="242"/>
      <c r="O380" s="474"/>
      <c r="P380" s="474"/>
      <c r="Q380" s="474"/>
      <c r="R380" s="474"/>
      <c r="S380" s="474"/>
      <c r="T380" s="474"/>
      <c r="U380" s="474"/>
      <c r="V380" s="474"/>
      <c r="W380" s="474"/>
      <c r="X380" s="474"/>
      <c r="Y380" s="474"/>
      <c r="Z380" s="474"/>
      <c r="AA380" s="474"/>
      <c r="AB380" s="474"/>
      <c r="AC380" s="474"/>
      <c r="AD380" s="474"/>
      <c r="AE380" s="474"/>
      <c r="AF380" s="474"/>
      <c r="AG380" s="474"/>
      <c r="AH380" s="474"/>
      <c r="AI380" s="474"/>
      <c r="AJ380" s="474"/>
      <c r="AK380" s="474"/>
      <c r="AL380" s="474"/>
      <c r="AM380" s="474"/>
      <c r="AN380" s="474"/>
      <c r="AO380" s="474"/>
      <c r="AP380" s="474"/>
      <c r="AQ380" s="474"/>
      <c r="AR380" s="474"/>
      <c r="AS380" s="474"/>
      <c r="AT380" s="474"/>
      <c r="AU380" s="474"/>
      <c r="AV380" s="474"/>
      <c r="AW380" s="474"/>
      <c r="AX380" s="474"/>
      <c r="AY380" s="474"/>
      <c r="AZ380" s="474"/>
      <c r="BA380" s="474"/>
      <c r="BB380" s="474"/>
      <c r="BC380" s="474"/>
      <c r="BD380" s="474"/>
      <c r="BE380" s="474"/>
      <c r="BF380" s="474"/>
    </row>
    <row r="381" spans="1:58" customFormat="1" ht="25.2" customHeight="1" thickBot="1">
      <c r="B381" s="494"/>
      <c r="C381" s="495"/>
      <c r="D381" s="496"/>
      <c r="E381" s="495"/>
      <c r="F381" s="495"/>
      <c r="G381" s="498"/>
      <c r="H381" s="495"/>
      <c r="I381" s="495"/>
      <c r="J381" s="495"/>
      <c r="K381" s="495"/>
      <c r="L381" s="495"/>
      <c r="M381" s="495"/>
      <c r="N381" s="501"/>
    </row>
    <row r="382" spans="1:58" ht="25.2" customHeight="1" thickBot="1">
      <c r="B382" s="535" t="s">
        <v>448</v>
      </c>
      <c r="C382" s="536"/>
      <c r="D382" s="536"/>
      <c r="E382" s="536"/>
      <c r="F382" s="536"/>
      <c r="G382" s="536"/>
      <c r="H382" s="536"/>
      <c r="I382" s="536"/>
      <c r="J382" s="536"/>
      <c r="K382" s="232">
        <f>K378</f>
        <v>4374.1499999999996</v>
      </c>
      <c r="L382" s="243"/>
      <c r="M382" s="260">
        <f>SUM(M378)</f>
        <v>1</v>
      </c>
      <c r="N382" s="311">
        <f>SUM(N378:N381)</f>
        <v>6.7302854074471142E-3</v>
      </c>
    </row>
    <row r="383" spans="1:58" customFormat="1" ht="25.2" customHeight="1" thickBot="1">
      <c r="B383" s="494"/>
      <c r="C383" s="495"/>
      <c r="D383" s="496"/>
      <c r="E383" s="495"/>
      <c r="F383" s="495"/>
      <c r="G383" s="498"/>
      <c r="H383" s="495"/>
      <c r="I383" s="495"/>
      <c r="J383" s="495"/>
      <c r="K383" s="495"/>
      <c r="L383" s="495"/>
      <c r="M383" s="495"/>
      <c r="N383" s="501"/>
    </row>
    <row r="384" spans="1:58" ht="25.2" customHeight="1" thickBot="1">
      <c r="B384" s="192">
        <v>13</v>
      </c>
      <c r="C384" s="529" t="s">
        <v>35</v>
      </c>
      <c r="D384" s="529"/>
      <c r="E384" s="529"/>
      <c r="F384" s="529"/>
      <c r="G384" s="529"/>
      <c r="H384" s="529"/>
      <c r="I384" s="529"/>
      <c r="J384" s="529"/>
      <c r="K384" s="277">
        <f>SUM(K385:K387)</f>
        <v>865.91300000000001</v>
      </c>
      <c r="L384" s="284">
        <f>SUM(L385:L387)</f>
        <v>1.0000000000000002</v>
      </c>
      <c r="M384" s="274">
        <f>K384/K389</f>
        <v>1</v>
      </c>
      <c r="N384" s="313">
        <f>K384/K398</f>
        <v>1.3323369404384289E-3</v>
      </c>
    </row>
    <row r="385" spans="1:58" s="475" customFormat="1" ht="25.2" customHeight="1">
      <c r="A385" s="473"/>
      <c r="B385" s="194" t="s">
        <v>75</v>
      </c>
      <c r="C385" s="194" t="s">
        <v>231</v>
      </c>
      <c r="D385" s="193" t="s">
        <v>258</v>
      </c>
      <c r="E385" s="194" t="s">
        <v>10</v>
      </c>
      <c r="F385" s="195" t="s">
        <v>569</v>
      </c>
      <c r="G385" s="196">
        <v>3</v>
      </c>
      <c r="H385" s="194" t="s">
        <v>1</v>
      </c>
      <c r="I385" s="197">
        <f>Cotação!E458</f>
        <v>220.84</v>
      </c>
      <c r="J385" s="197">
        <f t="shared" ref="J385:J387" si="68">I385*$I$3+I385</f>
        <v>266.11220000000003</v>
      </c>
      <c r="K385" s="227">
        <f t="shared" ref="K385:K387" si="69">G385*J385</f>
        <v>798.33660000000009</v>
      </c>
      <c r="L385" s="241">
        <f>K385/K384</f>
        <v>0.92195936543278612</v>
      </c>
      <c r="M385" s="257"/>
      <c r="N385" s="241"/>
      <c r="O385" s="474"/>
      <c r="P385" s="474"/>
      <c r="Q385" s="474"/>
      <c r="R385" s="474"/>
      <c r="S385" s="474"/>
      <c r="T385" s="474"/>
      <c r="U385" s="474"/>
      <c r="V385" s="474"/>
      <c r="W385" s="474"/>
      <c r="X385" s="474"/>
      <c r="Y385" s="474"/>
      <c r="Z385" s="474"/>
      <c r="AA385" s="474"/>
      <c r="AB385" s="474"/>
      <c r="AC385" s="474"/>
      <c r="AD385" s="474"/>
      <c r="AE385" s="474"/>
      <c r="AF385" s="474"/>
      <c r="AG385" s="474"/>
      <c r="AH385" s="474"/>
      <c r="AI385" s="474"/>
      <c r="AJ385" s="474"/>
      <c r="AK385" s="474"/>
      <c r="AL385" s="474"/>
      <c r="AM385" s="474"/>
      <c r="AN385" s="474"/>
      <c r="AO385" s="474"/>
      <c r="AP385" s="474"/>
      <c r="AQ385" s="474"/>
      <c r="AR385" s="474"/>
      <c r="AS385" s="474"/>
      <c r="AT385" s="474"/>
      <c r="AU385" s="474"/>
      <c r="AV385" s="474"/>
      <c r="AW385" s="474"/>
      <c r="AX385" s="474"/>
      <c r="AY385" s="474"/>
      <c r="AZ385" s="474"/>
      <c r="BA385" s="474"/>
      <c r="BB385" s="474"/>
      <c r="BC385" s="474"/>
      <c r="BD385" s="474"/>
      <c r="BE385" s="474"/>
      <c r="BF385" s="474"/>
    </row>
    <row r="386" spans="1:58" s="475" customFormat="1" ht="25.2" customHeight="1">
      <c r="A386" s="473"/>
      <c r="B386" s="194" t="s">
        <v>1002</v>
      </c>
      <c r="C386" s="16" t="s">
        <v>231</v>
      </c>
      <c r="D386" s="202" t="s">
        <v>259</v>
      </c>
      <c r="E386" s="16" t="s">
        <v>12</v>
      </c>
      <c r="F386" s="21" t="s">
        <v>568</v>
      </c>
      <c r="G386" s="173">
        <v>4</v>
      </c>
      <c r="H386" s="16" t="s">
        <v>1</v>
      </c>
      <c r="I386" s="19">
        <f>Cotação!E464</f>
        <v>5.2</v>
      </c>
      <c r="J386" s="19">
        <f t="shared" si="68"/>
        <v>6.266</v>
      </c>
      <c r="K386" s="228">
        <f t="shared" si="69"/>
        <v>25.064</v>
      </c>
      <c r="L386" s="241">
        <f>K386/K384</f>
        <v>2.8945171166156414E-2</v>
      </c>
      <c r="M386" s="258"/>
      <c r="N386" s="242"/>
      <c r="O386" s="474"/>
      <c r="P386" s="474"/>
      <c r="Q386" s="474"/>
      <c r="R386" s="474"/>
      <c r="S386" s="474"/>
      <c r="T386" s="474"/>
      <c r="U386" s="474"/>
      <c r="V386" s="474"/>
      <c r="W386" s="474"/>
      <c r="X386" s="474"/>
      <c r="Y386" s="474"/>
      <c r="Z386" s="474"/>
      <c r="AA386" s="474"/>
      <c r="AB386" s="474"/>
      <c r="AC386" s="474"/>
      <c r="AD386" s="474"/>
      <c r="AE386" s="474"/>
      <c r="AF386" s="474"/>
      <c r="AG386" s="474"/>
      <c r="AH386" s="474"/>
      <c r="AI386" s="474"/>
      <c r="AJ386" s="474"/>
      <c r="AK386" s="474"/>
      <c r="AL386" s="474"/>
      <c r="AM386" s="474"/>
      <c r="AN386" s="474"/>
      <c r="AO386" s="474"/>
      <c r="AP386" s="474"/>
      <c r="AQ386" s="474"/>
      <c r="AR386" s="474"/>
      <c r="AS386" s="474"/>
      <c r="AT386" s="474"/>
      <c r="AU386" s="474"/>
      <c r="AV386" s="474"/>
      <c r="AW386" s="474"/>
      <c r="AX386" s="474"/>
      <c r="AY386" s="474"/>
      <c r="AZ386" s="474"/>
      <c r="BA386" s="474"/>
      <c r="BB386" s="474"/>
      <c r="BC386" s="474"/>
      <c r="BD386" s="474"/>
      <c r="BE386" s="474"/>
      <c r="BF386" s="474"/>
    </row>
    <row r="387" spans="1:58" s="475" customFormat="1" ht="25.2" customHeight="1">
      <c r="A387" s="473"/>
      <c r="B387" s="194" t="s">
        <v>1003</v>
      </c>
      <c r="C387" s="16" t="s">
        <v>231</v>
      </c>
      <c r="D387" s="202" t="s">
        <v>261</v>
      </c>
      <c r="E387" s="16" t="s">
        <v>12</v>
      </c>
      <c r="F387" s="21" t="s">
        <v>570</v>
      </c>
      <c r="G387" s="173">
        <v>3</v>
      </c>
      <c r="H387" s="16" t="s">
        <v>1</v>
      </c>
      <c r="I387" s="19">
        <f>Cotação!E472</f>
        <v>11.76</v>
      </c>
      <c r="J387" s="19">
        <f t="shared" si="68"/>
        <v>14.1708</v>
      </c>
      <c r="K387" s="228">
        <f t="shared" si="69"/>
        <v>42.5124</v>
      </c>
      <c r="L387" s="241">
        <f>K387/K384</f>
        <v>4.909546340105761E-2</v>
      </c>
      <c r="M387" s="258"/>
      <c r="N387" s="242"/>
      <c r="O387" s="474"/>
      <c r="P387" s="474"/>
      <c r="Q387" s="474"/>
      <c r="R387" s="474"/>
      <c r="S387" s="474"/>
      <c r="T387" s="474"/>
      <c r="U387" s="474"/>
      <c r="V387" s="474"/>
      <c r="W387" s="474"/>
      <c r="X387" s="474"/>
      <c r="Y387" s="474"/>
      <c r="Z387" s="474"/>
      <c r="AA387" s="474"/>
      <c r="AB387" s="474"/>
      <c r="AC387" s="474"/>
      <c r="AD387" s="474"/>
      <c r="AE387" s="474"/>
      <c r="AF387" s="474"/>
      <c r="AG387" s="474"/>
      <c r="AH387" s="474"/>
      <c r="AI387" s="474"/>
      <c r="AJ387" s="474"/>
      <c r="AK387" s="474"/>
      <c r="AL387" s="474"/>
      <c r="AM387" s="474"/>
      <c r="AN387" s="474"/>
      <c r="AO387" s="474"/>
      <c r="AP387" s="474"/>
      <c r="AQ387" s="474"/>
      <c r="AR387" s="474"/>
      <c r="AS387" s="474"/>
      <c r="AT387" s="474"/>
      <c r="AU387" s="474"/>
      <c r="AV387" s="474"/>
      <c r="AW387" s="474"/>
      <c r="AX387" s="474"/>
      <c r="AY387" s="474"/>
      <c r="AZ387" s="474"/>
      <c r="BA387" s="474"/>
      <c r="BB387" s="474"/>
      <c r="BC387" s="474"/>
      <c r="BD387" s="474"/>
      <c r="BE387" s="474"/>
      <c r="BF387" s="474"/>
    </row>
    <row r="388" spans="1:58" customFormat="1" ht="25.2" customHeight="1" thickBot="1">
      <c r="B388" s="494"/>
      <c r="C388" s="495"/>
      <c r="D388" s="496"/>
      <c r="E388" s="495"/>
      <c r="F388" s="495"/>
      <c r="G388" s="498"/>
      <c r="H388" s="495"/>
      <c r="I388" s="495"/>
      <c r="J388" s="495"/>
      <c r="K388" s="495"/>
      <c r="L388" s="495"/>
      <c r="M388" s="495"/>
      <c r="N388" s="501"/>
    </row>
    <row r="389" spans="1:58" ht="25.2" customHeight="1" thickBot="1">
      <c r="B389" s="535" t="s">
        <v>448</v>
      </c>
      <c r="C389" s="536"/>
      <c r="D389" s="536"/>
      <c r="E389" s="536"/>
      <c r="F389" s="536"/>
      <c r="G389" s="536"/>
      <c r="H389" s="536"/>
      <c r="I389" s="536"/>
      <c r="J389" s="536"/>
      <c r="K389" s="232">
        <f>K384</f>
        <v>865.91300000000001</v>
      </c>
      <c r="L389" s="243"/>
      <c r="M389" s="260">
        <f>SUM(M384)</f>
        <v>1</v>
      </c>
      <c r="N389" s="311">
        <f>SUM(N384:N388)</f>
        <v>1.3323369404384289E-3</v>
      </c>
    </row>
    <row r="390" spans="1:58" customFormat="1" ht="25.2" customHeight="1" thickBot="1">
      <c r="B390" s="494"/>
      <c r="C390" s="495"/>
      <c r="D390" s="496"/>
      <c r="E390" s="495"/>
      <c r="F390" s="495"/>
      <c r="G390" s="498"/>
      <c r="H390" s="495"/>
      <c r="I390" s="495"/>
      <c r="J390" s="495"/>
      <c r="K390" s="495"/>
      <c r="L390" s="495"/>
      <c r="M390" s="495"/>
      <c r="N390" s="501"/>
    </row>
    <row r="391" spans="1:58" ht="25.2" customHeight="1" thickBot="1">
      <c r="B391" s="192">
        <v>14</v>
      </c>
      <c r="C391" s="529" t="s">
        <v>68</v>
      </c>
      <c r="D391" s="529"/>
      <c r="E391" s="529"/>
      <c r="F391" s="529"/>
      <c r="G391" s="529"/>
      <c r="H391" s="529"/>
      <c r="I391" s="529"/>
      <c r="J391" s="529"/>
      <c r="K391" s="277">
        <f>SUM(K392:K394)</f>
        <v>86600.626699999993</v>
      </c>
      <c r="L391" s="284">
        <f>SUM(L392:L394)</f>
        <v>1</v>
      </c>
      <c r="M391" s="274">
        <f>K391/K396</f>
        <v>1</v>
      </c>
      <c r="N391" s="313">
        <f>K391/K398</f>
        <v>0.13324804456975298</v>
      </c>
    </row>
    <row r="392" spans="1:58" s="475" customFormat="1" ht="25.2" customHeight="1">
      <c r="A392" s="473"/>
      <c r="B392" s="194" t="s">
        <v>867</v>
      </c>
      <c r="C392" s="194" t="s">
        <v>231</v>
      </c>
      <c r="D392" s="193" t="s">
        <v>262</v>
      </c>
      <c r="E392" s="194" t="s">
        <v>10</v>
      </c>
      <c r="F392" s="195" t="s">
        <v>434</v>
      </c>
      <c r="G392" s="196">
        <v>1</v>
      </c>
      <c r="H392" s="194" t="s">
        <v>1</v>
      </c>
      <c r="I392" s="197">
        <v>54000</v>
      </c>
      <c r="J392" s="197">
        <f>I392*$I$3+I392</f>
        <v>65070</v>
      </c>
      <c r="K392" s="227">
        <f>G392*J392</f>
        <v>65070</v>
      </c>
      <c r="L392" s="241">
        <f>K392/K391</f>
        <v>0.75138024376444845</v>
      </c>
      <c r="M392" s="257"/>
      <c r="N392" s="241"/>
      <c r="O392" s="474"/>
      <c r="P392" s="474"/>
      <c r="Q392" s="474"/>
      <c r="R392" s="474"/>
      <c r="S392" s="474"/>
      <c r="T392" s="474"/>
      <c r="U392" s="474"/>
      <c r="V392" s="474"/>
      <c r="W392" s="474"/>
      <c r="X392" s="474"/>
      <c r="Y392" s="474"/>
      <c r="Z392" s="474"/>
      <c r="AA392" s="474"/>
      <c r="AB392" s="474"/>
      <c r="AC392" s="474"/>
      <c r="AD392" s="474"/>
      <c r="AE392" s="474"/>
      <c r="AF392" s="474"/>
      <c r="AG392" s="474"/>
      <c r="AH392" s="474"/>
      <c r="AI392" s="474"/>
      <c r="AJ392" s="474"/>
      <c r="AK392" s="474"/>
      <c r="AL392" s="474"/>
      <c r="AM392" s="474"/>
      <c r="AN392" s="474"/>
      <c r="AO392" s="474"/>
      <c r="AP392" s="474"/>
      <c r="AQ392" s="474"/>
      <c r="AR392" s="474"/>
      <c r="AS392" s="474"/>
      <c r="AT392" s="474"/>
      <c r="AU392" s="474"/>
      <c r="AV392" s="474"/>
      <c r="AW392" s="474"/>
      <c r="AX392" s="474"/>
      <c r="AY392" s="474"/>
      <c r="AZ392" s="474"/>
      <c r="BA392" s="474"/>
      <c r="BB392" s="474"/>
      <c r="BC392" s="474"/>
      <c r="BD392" s="474"/>
      <c r="BE392" s="474"/>
      <c r="BF392" s="474"/>
    </row>
    <row r="393" spans="1:58" s="475" customFormat="1" ht="25.2" customHeight="1">
      <c r="A393" s="473"/>
      <c r="B393" s="194" t="s">
        <v>868</v>
      </c>
      <c r="C393" s="194" t="s">
        <v>231</v>
      </c>
      <c r="D393" s="45" t="s">
        <v>263</v>
      </c>
      <c r="E393" s="16"/>
      <c r="F393" s="21" t="s">
        <v>271</v>
      </c>
      <c r="G393" s="173">
        <v>38.5</v>
      </c>
      <c r="H393" s="16" t="s">
        <v>13</v>
      </c>
      <c r="I393" s="19">
        <f>Cotação!E485</f>
        <v>224.8</v>
      </c>
      <c r="J393" s="19">
        <f>I393*$I$3+I393</f>
        <v>270.88400000000001</v>
      </c>
      <c r="K393" s="228">
        <f>G393*J393</f>
        <v>10429.034</v>
      </c>
      <c r="L393" s="242">
        <f>K393/K391</f>
        <v>0.12042677284689904</v>
      </c>
      <c r="M393" s="258"/>
      <c r="N393" s="242"/>
      <c r="O393" s="474"/>
      <c r="P393" s="474"/>
      <c r="Q393" s="474"/>
      <c r="R393" s="474"/>
      <c r="S393" s="474"/>
      <c r="T393" s="474"/>
      <c r="U393" s="474"/>
      <c r="V393" s="474"/>
      <c r="W393" s="474"/>
      <c r="X393" s="474"/>
      <c r="Y393" s="474"/>
      <c r="Z393" s="474"/>
      <c r="AA393" s="474"/>
      <c r="AB393" s="474"/>
      <c r="AC393" s="474"/>
      <c r="AD393" s="474"/>
      <c r="AE393" s="474"/>
      <c r="AF393" s="474"/>
      <c r="AG393" s="474"/>
      <c r="AH393" s="474"/>
      <c r="AI393" s="474"/>
      <c r="AJ393" s="474"/>
      <c r="AK393" s="474"/>
      <c r="AL393" s="474"/>
      <c r="AM393" s="474"/>
      <c r="AN393" s="474"/>
      <c r="AO393" s="474"/>
      <c r="AP393" s="474"/>
      <c r="AQ393" s="474"/>
      <c r="AR393" s="474"/>
      <c r="AS393" s="474"/>
      <c r="AT393" s="474"/>
      <c r="AU393" s="474"/>
      <c r="AV393" s="474"/>
      <c r="AW393" s="474"/>
      <c r="AX393" s="474"/>
      <c r="AY393" s="474"/>
      <c r="AZ393" s="474"/>
      <c r="BA393" s="474"/>
      <c r="BB393" s="474"/>
      <c r="BC393" s="474"/>
      <c r="BD393" s="474"/>
      <c r="BE393" s="474"/>
      <c r="BF393" s="474"/>
    </row>
    <row r="394" spans="1:58" s="475" customFormat="1" ht="25.2" customHeight="1">
      <c r="A394" s="473"/>
      <c r="B394" s="194" t="s">
        <v>869</v>
      </c>
      <c r="C394" s="16" t="s">
        <v>10</v>
      </c>
      <c r="D394" s="45">
        <v>99839</v>
      </c>
      <c r="E394" s="16"/>
      <c r="F394" s="21" t="s">
        <v>144</v>
      </c>
      <c r="G394" s="173">
        <v>27</v>
      </c>
      <c r="H394" s="16" t="s">
        <v>13</v>
      </c>
      <c r="I394" s="19">
        <v>341.22</v>
      </c>
      <c r="J394" s="19">
        <f>I394*$I$3+I394</f>
        <v>411.17010000000005</v>
      </c>
      <c r="K394" s="228">
        <f>G394*J394</f>
        <v>11101.592700000001</v>
      </c>
      <c r="L394" s="242">
        <f>K394/K391</f>
        <v>0.12819298338865256</v>
      </c>
      <c r="M394" s="258"/>
      <c r="N394" s="242"/>
      <c r="O394" s="474"/>
      <c r="P394" s="474"/>
      <c r="Q394" s="474"/>
      <c r="R394" s="474"/>
      <c r="S394" s="474"/>
      <c r="T394" s="474"/>
      <c r="U394" s="474"/>
      <c r="V394" s="474"/>
      <c r="W394" s="474"/>
      <c r="X394" s="474"/>
      <c r="Y394" s="474"/>
      <c r="Z394" s="474"/>
      <c r="AA394" s="474"/>
      <c r="AB394" s="474"/>
      <c r="AC394" s="474"/>
      <c r="AD394" s="474"/>
      <c r="AE394" s="474"/>
      <c r="AF394" s="474"/>
      <c r="AG394" s="474"/>
      <c r="AH394" s="474"/>
      <c r="AI394" s="474"/>
      <c r="AJ394" s="474"/>
      <c r="AK394" s="474"/>
      <c r="AL394" s="474"/>
      <c r="AM394" s="474"/>
      <c r="AN394" s="474"/>
      <c r="AO394" s="474"/>
      <c r="AP394" s="474"/>
      <c r="AQ394" s="474"/>
      <c r="AR394" s="474"/>
      <c r="AS394" s="474"/>
      <c r="AT394" s="474"/>
      <c r="AU394" s="474"/>
      <c r="AV394" s="474"/>
      <c r="AW394" s="474"/>
      <c r="AX394" s="474"/>
      <c r="AY394" s="474"/>
      <c r="AZ394" s="474"/>
      <c r="BA394" s="474"/>
      <c r="BB394" s="474"/>
      <c r="BC394" s="474"/>
      <c r="BD394" s="474"/>
      <c r="BE394" s="474"/>
      <c r="BF394" s="474"/>
    </row>
    <row r="395" spans="1:58" ht="25.2" customHeight="1" thickBot="1">
      <c r="B395" s="291"/>
      <c r="C395" s="292"/>
      <c r="D395" s="293"/>
      <c r="E395" s="292"/>
      <c r="F395" s="294"/>
      <c r="G395" s="295"/>
      <c r="H395" s="291"/>
      <c r="I395" s="296"/>
      <c r="J395" s="297"/>
      <c r="K395" s="298"/>
    </row>
    <row r="396" spans="1:58" ht="25.2" customHeight="1" thickBot="1">
      <c r="B396" s="535" t="s">
        <v>448</v>
      </c>
      <c r="C396" s="536"/>
      <c r="D396" s="536"/>
      <c r="E396" s="536"/>
      <c r="F396" s="536"/>
      <c r="G396" s="536"/>
      <c r="H396" s="536"/>
      <c r="I396" s="536"/>
      <c r="J396" s="536"/>
      <c r="K396" s="232">
        <f>K391</f>
        <v>86600.626699999993</v>
      </c>
      <c r="L396" s="243"/>
      <c r="M396" s="260">
        <f>SUM(M391:M395)</f>
        <v>1</v>
      </c>
      <c r="N396" s="311">
        <f>SUM(N391:N395)</f>
        <v>0.13324804456975298</v>
      </c>
    </row>
    <row r="397" spans="1:58" customFormat="1" ht="25.2" customHeight="1" thickBot="1">
      <c r="B397" s="494"/>
      <c r="C397" s="495"/>
      <c r="D397" s="496"/>
      <c r="E397" s="495"/>
      <c r="F397" s="495"/>
      <c r="G397" s="498"/>
      <c r="H397" s="495"/>
      <c r="I397" s="495"/>
      <c r="J397" s="495"/>
      <c r="K397" s="495"/>
      <c r="L397" s="495"/>
      <c r="M397" s="495"/>
      <c r="N397" s="501"/>
    </row>
    <row r="398" spans="1:58" ht="25.2" customHeight="1" thickBot="1">
      <c r="B398" s="541" t="s">
        <v>42</v>
      </c>
      <c r="C398" s="542"/>
      <c r="D398" s="542"/>
      <c r="E398" s="542"/>
      <c r="F398" s="542"/>
      <c r="G398" s="542"/>
      <c r="H398" s="542"/>
      <c r="I398" s="542"/>
      <c r="J398" s="542"/>
      <c r="K398" s="305">
        <f>SUM(K396,K389,K382,K376,K370,K356,K331,K296,K206,K109,K101,K96,K60,K28)</f>
        <v>649920.43207558</v>
      </c>
      <c r="L398" s="284"/>
      <c r="M398" s="274"/>
      <c r="N398" s="313">
        <f>SUM(,N396,N389,N382,N376,N370,N356,N331,N296,N206,N109,N101,N96,N60,N28)</f>
        <v>1</v>
      </c>
    </row>
    <row r="399" spans="1:58" ht="19.2" customHeight="1">
      <c r="C399" s="25"/>
      <c r="E399" s="25"/>
      <c r="F399" s="15"/>
      <c r="G399" s="175"/>
      <c r="H399" s="14"/>
      <c r="I399" s="176"/>
    </row>
    <row r="400" spans="1:58" ht="33.6" customHeight="1">
      <c r="B400" s="603" t="s">
        <v>884</v>
      </c>
      <c r="C400" s="605"/>
      <c r="D400" s="605"/>
      <c r="E400" s="606"/>
      <c r="F400" s="601" t="s">
        <v>134</v>
      </c>
      <c r="G400" s="607"/>
      <c r="H400" s="608"/>
      <c r="I400" s="609"/>
      <c r="J400" s="610"/>
      <c r="K400" s="609"/>
      <c r="L400" s="611"/>
      <c r="M400" s="612"/>
      <c r="N400" s="613"/>
    </row>
    <row r="401" spans="2:14" ht="25.8" customHeight="1">
      <c r="B401" s="604" t="s">
        <v>45</v>
      </c>
      <c r="C401" s="614"/>
      <c r="D401" s="614"/>
      <c r="E401" s="615"/>
      <c r="F401" s="602" t="s">
        <v>474</v>
      </c>
      <c r="G401" s="616"/>
      <c r="H401" s="617"/>
      <c r="I401" s="618"/>
      <c r="J401" s="619"/>
      <c r="K401" s="618"/>
      <c r="L401" s="620"/>
      <c r="M401" s="621"/>
      <c r="N401" s="622"/>
    </row>
    <row r="402" spans="2:14" ht="22.2" customHeight="1">
      <c r="B402" s="283"/>
      <c r="F402" s="283"/>
      <c r="G402" s="528"/>
      <c r="H402" s="528"/>
      <c r="I402" s="528"/>
      <c r="J402" s="528"/>
      <c r="K402" s="528"/>
      <c r="L402" s="528"/>
      <c r="M402" s="528"/>
      <c r="N402" s="528"/>
    </row>
    <row r="403" spans="2:14" ht="14.4">
      <c r="F403" s="283"/>
      <c r="G403" s="213"/>
      <c r="H403" s="27"/>
      <c r="I403" s="521"/>
      <c r="J403" s="521"/>
      <c r="K403" s="521"/>
    </row>
    <row r="417" spans="1:7">
      <c r="A417" s="13"/>
      <c r="C417" s="1"/>
      <c r="E417" s="1"/>
      <c r="G417" s="214"/>
    </row>
    <row r="422" spans="1:7">
      <c r="A422" s="13"/>
      <c r="C422" s="1"/>
      <c r="E422" s="1"/>
      <c r="G422" s="214"/>
    </row>
  </sheetData>
  <mergeCells count="70">
    <mergeCell ref="B400:D400"/>
    <mergeCell ref="B401:D401"/>
    <mergeCell ref="C71:J71"/>
    <mergeCell ref="C78:J78"/>
    <mergeCell ref="C83:J83"/>
    <mergeCell ref="C88:J88"/>
    <mergeCell ref="B398:J398"/>
    <mergeCell ref="B376:J376"/>
    <mergeCell ref="B382:J382"/>
    <mergeCell ref="C384:J384"/>
    <mergeCell ref="B389:J389"/>
    <mergeCell ref="B396:J396"/>
    <mergeCell ref="B96:J96"/>
    <mergeCell ref="B101:J101"/>
    <mergeCell ref="C98:J98"/>
    <mergeCell ref="C103:J103"/>
    <mergeCell ref="B109:J109"/>
    <mergeCell ref="C111:N111"/>
    <mergeCell ref="C10:N10"/>
    <mergeCell ref="C21:J21"/>
    <mergeCell ref="B28:J28"/>
    <mergeCell ref="C30:N30"/>
    <mergeCell ref="C12:J12"/>
    <mergeCell ref="C32:J32"/>
    <mergeCell ref="C42:J42"/>
    <mergeCell ref="C49:J49"/>
    <mergeCell ref="B60:J60"/>
    <mergeCell ref="C64:J64"/>
    <mergeCell ref="C62:N62"/>
    <mergeCell ref="C113:J113"/>
    <mergeCell ref="C119:J119"/>
    <mergeCell ref="C136:J136"/>
    <mergeCell ref="C160:J160"/>
    <mergeCell ref="C163:J163"/>
    <mergeCell ref="C173:J173"/>
    <mergeCell ref="C176:J176"/>
    <mergeCell ref="C179:J179"/>
    <mergeCell ref="C185:J185"/>
    <mergeCell ref="C192:J192"/>
    <mergeCell ref="B206:J206"/>
    <mergeCell ref="C208:N208"/>
    <mergeCell ref="C210:J210"/>
    <mergeCell ref="C216:J216"/>
    <mergeCell ref="C229:J229"/>
    <mergeCell ref="C236:J236"/>
    <mergeCell ref="C253:J253"/>
    <mergeCell ref="C263:J263"/>
    <mergeCell ref="C315:J315"/>
    <mergeCell ref="C324:J324"/>
    <mergeCell ref="C275:J275"/>
    <mergeCell ref="C283:J283"/>
    <mergeCell ref="B296:J296"/>
    <mergeCell ref="C298:N298"/>
    <mergeCell ref="C300:J300"/>
    <mergeCell ref="G402:N402"/>
    <mergeCell ref="C391:J391"/>
    <mergeCell ref="B6:N6"/>
    <mergeCell ref="C288:J288"/>
    <mergeCell ref="C358:N358"/>
    <mergeCell ref="C360:J360"/>
    <mergeCell ref="C364:J364"/>
    <mergeCell ref="B370:J370"/>
    <mergeCell ref="C333:N333"/>
    <mergeCell ref="C335:J335"/>
    <mergeCell ref="C342:J342"/>
    <mergeCell ref="C349:J349"/>
    <mergeCell ref="B356:J356"/>
    <mergeCell ref="C312:J312"/>
    <mergeCell ref="C328:J328"/>
    <mergeCell ref="B331:J331"/>
  </mergeCells>
  <phoneticPr fontId="45" type="noConversion"/>
  <conditionalFormatting sqref="J314 J20 J29 J27 J95 J191 J193 J56 J47 J311 J325:J327 J264:J270 J272:J274 J195:J205">
    <cfRule type="cellIs" dxfId="27" priority="76" stopIfTrue="1" operator="equal">
      <formula>0</formula>
    </cfRule>
  </conditionalFormatting>
  <conditionalFormatting sqref="J274">
    <cfRule type="cellIs" dxfId="26" priority="70" stopIfTrue="1" operator="equal">
      <formula>0</formula>
    </cfRule>
  </conditionalFormatting>
  <conditionalFormatting sqref="J110 J262 J282">
    <cfRule type="cellIs" dxfId="25" priority="68" stopIfTrue="1" operator="equal">
      <formula>0</formula>
    </cfRule>
  </conditionalFormatting>
  <conditionalFormatting sqref="J327">
    <cfRule type="cellIs" dxfId="24" priority="57" stopIfTrue="1" operator="equal">
      <formula>0</formula>
    </cfRule>
  </conditionalFormatting>
  <conditionalFormatting sqref="J377">
    <cfRule type="cellIs" dxfId="23" priority="52" stopIfTrue="1" operator="equal">
      <formula>0</formula>
    </cfRule>
  </conditionalFormatting>
  <conditionalFormatting sqref="I8:I9">
    <cfRule type="cellIs" dxfId="22" priority="41" stopIfTrue="1" operator="equal">
      <formula>0</formula>
    </cfRule>
  </conditionalFormatting>
  <conditionalFormatting sqref="G8:G9">
    <cfRule type="cellIs" dxfId="21" priority="40" stopIfTrue="1" operator="equal">
      <formula>0</formula>
    </cfRule>
  </conditionalFormatting>
  <conditionalFormatting sqref="J323">
    <cfRule type="cellIs" dxfId="20" priority="37" stopIfTrue="1" operator="equal">
      <formula>0</formula>
    </cfRule>
  </conditionalFormatting>
  <conditionalFormatting sqref="J100">
    <cfRule type="cellIs" dxfId="19" priority="29" stopIfTrue="1" operator="equal">
      <formula>0</formula>
    </cfRule>
  </conditionalFormatting>
  <conditionalFormatting sqref="J355">
    <cfRule type="cellIs" dxfId="18" priority="25" stopIfTrue="1" operator="equal">
      <formula>0</formula>
    </cfRule>
  </conditionalFormatting>
  <conditionalFormatting sqref="J395">
    <cfRule type="cellIs" dxfId="17" priority="20" stopIfTrue="1" operator="equal">
      <formula>0</formula>
    </cfRule>
  </conditionalFormatting>
  <conditionalFormatting sqref="J8">
    <cfRule type="cellIs" dxfId="16" priority="19" stopIfTrue="1" operator="equal">
      <formula>0</formula>
    </cfRule>
  </conditionalFormatting>
  <conditionalFormatting sqref="J329">
    <cfRule type="cellIs" dxfId="15" priority="16" stopIfTrue="1" operator="equal">
      <formula>0</formula>
    </cfRule>
  </conditionalFormatting>
  <conditionalFormatting sqref="J194">
    <cfRule type="cellIs" dxfId="13" priority="11" stopIfTrue="1" operator="equal">
      <formula>0</formula>
    </cfRule>
  </conditionalFormatting>
  <conditionalFormatting sqref="J23">
    <cfRule type="cellIs" dxfId="12" priority="6" stopIfTrue="1" operator="equal">
      <formula>0</formula>
    </cfRule>
  </conditionalFormatting>
  <conditionalFormatting sqref="J271">
    <cfRule type="cellIs" dxfId="11" priority="2" stopIfTrue="1" operator="equal">
      <formula>0</formula>
    </cfRule>
  </conditionalFormatting>
  <conditionalFormatting sqref="J22:J23">
    <cfRule type="cellIs" dxfId="10" priority="10" stopIfTrue="1" operator="equal">
      <formula>0</formula>
    </cfRule>
  </conditionalFormatting>
  <conditionalFormatting sqref="J24">
    <cfRule type="cellIs" dxfId="9" priority="9" stopIfTrue="1" operator="equal">
      <formula>0</formula>
    </cfRule>
  </conditionalFormatting>
  <conditionalFormatting sqref="J25">
    <cfRule type="cellIs" dxfId="8" priority="8" stopIfTrue="1" operator="equal">
      <formula>0</formula>
    </cfRule>
  </conditionalFormatting>
  <conditionalFormatting sqref="J26">
    <cfRule type="cellIs" dxfId="7" priority="7" stopIfTrue="1" operator="equal">
      <formula>0</formula>
    </cfRule>
  </conditionalFormatting>
  <conditionalFormatting sqref="J86">
    <cfRule type="cellIs" dxfId="6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1" fitToHeight="0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1:BF104"/>
  <sheetViews>
    <sheetView topLeftCell="A76" workbookViewId="0">
      <selection activeCell="J104" sqref="B103:J104"/>
    </sheetView>
  </sheetViews>
  <sheetFormatPr defaultColWidth="9.109375" defaultRowHeight="14.4"/>
  <cols>
    <col min="1" max="1" width="6.33203125" customWidth="1"/>
    <col min="2" max="2" width="63.109375" customWidth="1"/>
    <col min="3" max="3" width="3.6640625" customWidth="1"/>
    <col min="4" max="4" width="17.6640625" style="250" customWidth="1"/>
    <col min="5" max="5" width="19.109375" customWidth="1"/>
    <col min="6" max="6" width="19.6640625" customWidth="1"/>
    <col min="7" max="7" width="18.44140625" customWidth="1"/>
    <col min="8" max="8" width="19.5546875" customWidth="1"/>
    <col min="9" max="9" width="18.6640625" style="164" customWidth="1"/>
    <col min="10" max="10" width="14.109375" style="416" customWidth="1"/>
    <col min="11" max="11" width="18.33203125" customWidth="1"/>
    <col min="12" max="12" width="13.5546875" customWidth="1"/>
    <col min="13" max="14" width="12.5546875" customWidth="1"/>
  </cols>
  <sheetData>
    <row r="11" spans="1:58" ht="15" thickBot="1"/>
    <row r="12" spans="1:58" s="1" customFormat="1" ht="30" customHeight="1">
      <c r="A12" s="4"/>
      <c r="B12" s="314"/>
      <c r="C12" s="188"/>
      <c r="D12" s="628"/>
      <c r="E12" s="628"/>
      <c r="F12" s="628"/>
      <c r="G12" s="404"/>
      <c r="H12" s="405"/>
      <c r="I12" s="412"/>
      <c r="J12" s="464"/>
      <c r="K12"/>
      <c r="L12"/>
      <c r="M12"/>
      <c r="N12"/>
      <c r="O12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</row>
    <row r="13" spans="1:58" s="1" customFormat="1" ht="30" customHeight="1">
      <c r="A13" s="4"/>
      <c r="B13" s="315"/>
      <c r="C13" s="5"/>
      <c r="D13" s="543" t="s">
        <v>46</v>
      </c>
      <c r="E13" s="543"/>
      <c r="F13" s="543"/>
      <c r="G13" s="407"/>
      <c r="H13" s="408" t="s">
        <v>0</v>
      </c>
      <c r="I13" s="467">
        <v>0.20499999999999999</v>
      </c>
      <c r="J13" s="465"/>
      <c r="K13"/>
      <c r="L13"/>
      <c r="M13"/>
      <c r="N13"/>
      <c r="O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</row>
    <row r="14" spans="1:58" s="1" customFormat="1" ht="30" customHeight="1" thickBot="1">
      <c r="A14" s="8"/>
      <c r="B14" s="248"/>
      <c r="C14" s="189"/>
      <c r="D14" s="469"/>
      <c r="E14" s="189"/>
      <c r="F14" s="203"/>
      <c r="G14" s="207"/>
      <c r="H14" s="468"/>
      <c r="I14" s="413" t="s">
        <v>885</v>
      </c>
      <c r="J14" s="466"/>
      <c r="K14"/>
      <c r="L14"/>
      <c r="M14"/>
      <c r="N14"/>
      <c r="O14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58" s="1" customFormat="1" ht="10.199999999999999" customHeight="1" thickBot="1">
      <c r="A15" s="8"/>
      <c r="B15" s="143"/>
      <c r="C15" s="8"/>
      <c r="D15" s="184"/>
      <c r="E15" s="8"/>
      <c r="F15" s="400"/>
      <c r="G15" s="208"/>
      <c r="H15" s="143"/>
      <c r="I15" s="414"/>
      <c r="J15" s="417"/>
      <c r="K15"/>
      <c r="L15"/>
      <c r="M15"/>
      <c r="N15"/>
      <c r="O15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</row>
    <row r="16" spans="1:58" s="1" customFormat="1" ht="30" customHeight="1" thickBot="1">
      <c r="A16" s="8"/>
      <c r="B16" s="530" t="s">
        <v>870</v>
      </c>
      <c r="C16" s="531"/>
      <c r="D16" s="531"/>
      <c r="E16" s="531"/>
      <c r="F16" s="531"/>
      <c r="G16" s="531"/>
      <c r="H16" s="531"/>
      <c r="I16" s="531"/>
      <c r="J16" s="532"/>
      <c r="K16"/>
      <c r="L16"/>
      <c r="M16"/>
      <c r="N16"/>
      <c r="O16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</row>
    <row r="17" spans="1:10" ht="15" thickBot="1"/>
    <row r="18" spans="1:10" ht="15" thickBot="1">
      <c r="B18" s="462" t="s">
        <v>165</v>
      </c>
      <c r="C18" s="270"/>
      <c r="D18" s="271" t="s">
        <v>871</v>
      </c>
      <c r="E18" s="271" t="s">
        <v>872</v>
      </c>
      <c r="F18" s="271" t="s">
        <v>873</v>
      </c>
      <c r="G18" s="271" t="s">
        <v>874</v>
      </c>
      <c r="H18" s="271" t="s">
        <v>875</v>
      </c>
      <c r="I18" s="415" t="s">
        <v>306</v>
      </c>
      <c r="J18" s="463" t="s">
        <v>879</v>
      </c>
    </row>
    <row r="20" spans="1:10">
      <c r="B20" s="429" t="s">
        <v>9</v>
      </c>
      <c r="D20" s="423">
        <f>'Planilha orçamento'!K28</f>
        <v>13939.280308580001</v>
      </c>
      <c r="E20" s="424"/>
      <c r="F20" s="424"/>
      <c r="G20" s="424"/>
      <c r="H20" s="424"/>
      <c r="I20" s="430">
        <f>SUM(C20:H20)</f>
        <v>13939.280308580001</v>
      </c>
      <c r="J20" s="416">
        <f>I20/'Planilha orçamento'!K28</f>
        <v>1</v>
      </c>
    </row>
    <row r="21" spans="1:10">
      <c r="A21" s="410" t="s">
        <v>876</v>
      </c>
      <c r="B21" s="424" t="s">
        <v>9</v>
      </c>
      <c r="D21" s="420">
        <v>1</v>
      </c>
      <c r="E21" s="411"/>
      <c r="F21" s="411"/>
      <c r="G21" s="411"/>
      <c r="H21" s="411"/>
      <c r="I21" s="431"/>
    </row>
    <row r="22" spans="1:10">
      <c r="B22" s="424" t="s">
        <v>47</v>
      </c>
      <c r="D22" s="420">
        <v>1</v>
      </c>
      <c r="E22" s="411"/>
      <c r="F22" s="411"/>
      <c r="G22" s="411"/>
      <c r="H22" s="411"/>
      <c r="I22" s="431"/>
    </row>
    <row r="23" spans="1:10">
      <c r="B23" s="424" t="s">
        <v>59</v>
      </c>
      <c r="D23" s="420">
        <v>1</v>
      </c>
      <c r="E23" s="411"/>
      <c r="F23" s="411"/>
      <c r="G23" s="411"/>
      <c r="H23" s="411"/>
      <c r="I23" s="431"/>
    </row>
    <row r="25" spans="1:10">
      <c r="B25" s="429" t="s">
        <v>16</v>
      </c>
      <c r="D25" s="423">
        <f>'Planilha orçamento'!K60</f>
        <v>52730.599849500002</v>
      </c>
      <c r="E25" s="423"/>
      <c r="F25" s="424"/>
      <c r="G25" s="424"/>
      <c r="H25" s="424"/>
      <c r="I25" s="430">
        <f>SUM(C25:H25)</f>
        <v>52730.599849500002</v>
      </c>
      <c r="J25" s="416">
        <f>I25/'Planilha orçamento'!K60</f>
        <v>1</v>
      </c>
    </row>
    <row r="26" spans="1:10">
      <c r="B26" s="424" t="s">
        <v>129</v>
      </c>
      <c r="D26" s="420">
        <v>1</v>
      </c>
      <c r="E26" s="411"/>
      <c r="F26" s="411"/>
      <c r="G26" s="411"/>
      <c r="H26" s="411"/>
      <c r="I26" s="431"/>
    </row>
    <row r="27" spans="1:10">
      <c r="B27" s="424" t="s">
        <v>18</v>
      </c>
      <c r="D27" s="420">
        <v>1</v>
      </c>
      <c r="E27" s="411"/>
      <c r="F27" s="411"/>
      <c r="G27" s="411"/>
      <c r="H27" s="411"/>
      <c r="I27" s="431"/>
    </row>
    <row r="28" spans="1:10">
      <c r="B28" s="424" t="s">
        <v>391</v>
      </c>
      <c r="D28" s="420">
        <v>1</v>
      </c>
      <c r="E28" s="411"/>
      <c r="F28" s="411"/>
      <c r="G28" s="411"/>
      <c r="H28" s="411"/>
      <c r="I28" s="431"/>
    </row>
    <row r="30" spans="1:10">
      <c r="B30" s="429" t="s">
        <v>390</v>
      </c>
      <c r="D30" s="425"/>
      <c r="E30" s="426">
        <f>'Planilha orçamento'!K96-'Planilha orçamento'!K88</f>
        <v>110523.23563750001</v>
      </c>
      <c r="F30" s="426">
        <f>'Planilha orçamento'!K88</f>
        <v>2964.7217499999997</v>
      </c>
      <c r="G30" s="424"/>
      <c r="H30" s="424"/>
      <c r="I30" s="430">
        <f>SUM(C30:H30)</f>
        <v>113487.95738750001</v>
      </c>
      <c r="J30" s="416">
        <f>I30/'Planilha orçamento'!K96</f>
        <v>1</v>
      </c>
    </row>
    <row r="31" spans="1:10">
      <c r="B31" s="424" t="s">
        <v>19</v>
      </c>
      <c r="D31" s="421"/>
      <c r="E31" s="418">
        <v>1</v>
      </c>
      <c r="F31" s="411"/>
      <c r="G31" s="411"/>
      <c r="H31" s="411"/>
      <c r="I31" s="431"/>
    </row>
    <row r="32" spans="1:10">
      <c r="B32" s="424" t="s">
        <v>20</v>
      </c>
      <c r="D32" s="421"/>
      <c r="E32" s="418">
        <v>1</v>
      </c>
      <c r="F32" s="411"/>
      <c r="G32" s="411"/>
      <c r="H32" s="411"/>
      <c r="I32" s="431"/>
    </row>
    <row r="33" spans="2:10">
      <c r="B33" s="424" t="s">
        <v>410</v>
      </c>
      <c r="D33" s="421"/>
      <c r="E33" s="418">
        <v>1</v>
      </c>
      <c r="F33" s="411"/>
      <c r="G33" s="411"/>
      <c r="H33" s="411"/>
      <c r="I33" s="431"/>
    </row>
    <row r="34" spans="2:10">
      <c r="B34" s="424" t="s">
        <v>43</v>
      </c>
      <c r="D34" s="421"/>
      <c r="E34" s="418">
        <v>1</v>
      </c>
      <c r="F34" s="411"/>
      <c r="G34" s="411"/>
      <c r="H34" s="411"/>
      <c r="I34" s="431"/>
    </row>
    <row r="35" spans="2:10">
      <c r="B35" s="424" t="s">
        <v>21</v>
      </c>
      <c r="D35" s="421"/>
      <c r="E35" s="422"/>
      <c r="F35" s="418">
        <v>1</v>
      </c>
      <c r="G35" s="421"/>
      <c r="H35" s="421"/>
      <c r="I35" s="431"/>
    </row>
    <row r="37" spans="2:10">
      <c r="B37" s="429" t="s">
        <v>398</v>
      </c>
      <c r="D37" s="425"/>
      <c r="E37" s="426">
        <f>'Planilha orçamento'!K101/2</f>
        <v>20494.64</v>
      </c>
      <c r="F37" s="426">
        <f>'Planilha orçamento'!K101/2</f>
        <v>20494.64</v>
      </c>
      <c r="G37" s="424"/>
      <c r="H37" s="424"/>
      <c r="I37" s="430">
        <f>SUM(C37:H37)</f>
        <v>40989.279999999999</v>
      </c>
      <c r="J37" s="416">
        <f>I37/'Planilha orçamento'!K101</f>
        <v>1</v>
      </c>
    </row>
    <row r="38" spans="2:10">
      <c r="B38" s="429"/>
      <c r="D38" s="421"/>
      <c r="E38" s="419">
        <v>0.5</v>
      </c>
      <c r="F38" s="419">
        <v>0.5</v>
      </c>
      <c r="G38" s="411"/>
      <c r="H38" s="411"/>
      <c r="I38" s="431"/>
    </row>
    <row r="39" spans="2:10">
      <c r="D39"/>
      <c r="I39"/>
      <c r="J39"/>
    </row>
    <row r="40" spans="2:10">
      <c r="B40" s="429" t="s">
        <v>53</v>
      </c>
      <c r="D40" s="425"/>
      <c r="E40" s="424"/>
      <c r="F40" s="424"/>
      <c r="G40" s="426">
        <f>'Planilha orçamento'!K109</f>
        <v>23607.926200000002</v>
      </c>
      <c r="H40" s="424"/>
      <c r="I40" s="430">
        <f>SUM(C40:H40)</f>
        <v>23607.926200000002</v>
      </c>
      <c r="J40" s="416">
        <f>I40/'Planilha orçamento'!K109</f>
        <v>1</v>
      </c>
    </row>
    <row r="41" spans="2:10">
      <c r="B41" s="424"/>
      <c r="D41" s="421"/>
      <c r="E41" s="421"/>
      <c r="F41" s="421"/>
      <c r="G41" s="418">
        <v>1</v>
      </c>
      <c r="H41" s="411"/>
      <c r="I41" s="430"/>
    </row>
    <row r="42" spans="2:10">
      <c r="D42"/>
      <c r="I42"/>
      <c r="J42"/>
    </row>
    <row r="43" spans="2:10">
      <c r="B43" s="428" t="s">
        <v>141</v>
      </c>
      <c r="D43" s="423">
        <f>SUM('Planilha orçamento'!K113,'Planilha orçamento'!K176,'Planilha orçamento'!K185,'Planilha orçamento'!K136)</f>
        <v>10966.6216</v>
      </c>
      <c r="E43" s="426">
        <f>SUM('Planilha orçamento'!K163,'Planilha orçamento'!K173,'Planilha orçamento'!K119,'Planilha orçamento'!K179)</f>
        <v>8551.4752999999982</v>
      </c>
      <c r="F43" s="426">
        <f>'Planilha orçamento'!K160</f>
        <v>491.27850000000001</v>
      </c>
      <c r="G43" s="424"/>
      <c r="H43" s="426">
        <f>'Planilha orçamento'!K192</f>
        <v>7012.4251999999997</v>
      </c>
      <c r="I43" s="430">
        <f>SUM(C43:H43)</f>
        <v>27021.800599999995</v>
      </c>
      <c r="J43" s="416">
        <f>I43/'Planilha orçamento'!K206</f>
        <v>0.99999999999999989</v>
      </c>
    </row>
    <row r="44" spans="2:10">
      <c r="B44" s="427" t="s">
        <v>76</v>
      </c>
      <c r="D44" s="418">
        <v>1</v>
      </c>
      <c r="E44" s="411"/>
      <c r="F44" s="411"/>
      <c r="G44" s="411"/>
      <c r="H44" s="411"/>
      <c r="I44" s="431"/>
    </row>
    <row r="45" spans="2:10">
      <c r="B45" s="427" t="s">
        <v>124</v>
      </c>
      <c r="D45" s="411"/>
      <c r="E45" s="418">
        <v>1</v>
      </c>
      <c r="F45" s="411"/>
      <c r="G45" s="411"/>
      <c r="H45" s="411"/>
      <c r="I45" s="431"/>
    </row>
    <row r="46" spans="2:10">
      <c r="B46" s="427" t="s">
        <v>89</v>
      </c>
      <c r="D46" s="418">
        <v>1</v>
      </c>
      <c r="E46" s="411"/>
      <c r="F46" s="411"/>
      <c r="G46" s="411"/>
      <c r="H46" s="411"/>
      <c r="I46" s="431"/>
    </row>
    <row r="47" spans="2:10">
      <c r="B47" s="427" t="s">
        <v>106</v>
      </c>
      <c r="D47" s="421"/>
      <c r="E47" s="421"/>
      <c r="F47" s="418">
        <v>1</v>
      </c>
      <c r="G47" s="411"/>
      <c r="H47" s="411"/>
      <c r="I47" s="431"/>
    </row>
    <row r="48" spans="2:10">
      <c r="B48" s="427" t="s">
        <v>108</v>
      </c>
      <c r="D48" s="421"/>
      <c r="E48" s="418">
        <v>1</v>
      </c>
      <c r="F48" s="411"/>
      <c r="G48" s="411"/>
      <c r="H48" s="411"/>
      <c r="I48" s="431"/>
    </row>
    <row r="49" spans="2:10">
      <c r="B49" s="427" t="s">
        <v>116</v>
      </c>
      <c r="D49" s="421"/>
      <c r="E49" s="418">
        <v>1</v>
      </c>
      <c r="F49" s="411"/>
      <c r="G49" s="411"/>
      <c r="H49" s="411"/>
      <c r="I49" s="431"/>
    </row>
    <row r="50" spans="2:10">
      <c r="B50" s="427" t="s">
        <v>160</v>
      </c>
      <c r="D50" s="418">
        <v>1</v>
      </c>
      <c r="E50" s="411"/>
      <c r="F50" s="411"/>
      <c r="G50" s="411"/>
      <c r="H50" s="411"/>
      <c r="I50" s="431"/>
    </row>
    <row r="51" spans="2:10">
      <c r="B51" s="427" t="s">
        <v>118</v>
      </c>
      <c r="D51" s="411"/>
      <c r="E51" s="418">
        <v>1</v>
      </c>
      <c r="F51" s="411"/>
      <c r="G51" s="411"/>
      <c r="H51" s="411"/>
      <c r="I51" s="431"/>
    </row>
    <row r="52" spans="2:10">
      <c r="B52" s="427" t="s">
        <v>119</v>
      </c>
      <c r="D52" s="418">
        <v>1</v>
      </c>
      <c r="E52" s="411"/>
      <c r="F52" s="411"/>
      <c r="G52" s="411"/>
      <c r="H52" s="411"/>
      <c r="I52" s="431"/>
    </row>
    <row r="53" spans="2:10">
      <c r="B53" s="427" t="s">
        <v>877</v>
      </c>
      <c r="D53" s="422"/>
      <c r="E53" s="411"/>
      <c r="F53" s="411"/>
      <c r="G53" s="411"/>
      <c r="H53" s="418">
        <v>1</v>
      </c>
      <c r="I53" s="431"/>
    </row>
    <row r="55" spans="2:10">
      <c r="B55" s="429" t="s">
        <v>37</v>
      </c>
      <c r="D55" s="425"/>
      <c r="E55" s="424"/>
      <c r="F55" s="426">
        <f>SUM('Planilha orçamento'!K210,'Planilha orçamento'!K216,'Planilha orçamento'!K229,'Planilha orçamento'!K236,'Planilha orçamento'!K253)</f>
        <v>22335.31365</v>
      </c>
      <c r="G55" s="424"/>
      <c r="H55" s="426">
        <f>SUM('Planilha orçamento'!K263,'Planilha orçamento'!K275,'Planilha orçamento'!K283,'Planilha orçamento'!K288)</f>
        <v>106730.85059999999</v>
      </c>
      <c r="I55" s="430">
        <f>SUM(C55:H55)</f>
        <v>129066.16424999999</v>
      </c>
      <c r="J55" s="416">
        <f>I55/'Planilha orçamento'!K296</f>
        <v>0.99999999999999989</v>
      </c>
    </row>
    <row r="56" spans="2:10">
      <c r="B56" s="424" t="s">
        <v>44</v>
      </c>
      <c r="D56" s="421"/>
      <c r="E56" s="421"/>
      <c r="F56" s="418">
        <v>1</v>
      </c>
      <c r="G56" s="411"/>
      <c r="H56" s="411"/>
      <c r="I56" s="431"/>
    </row>
    <row r="57" spans="2:10" ht="15" thickBot="1">
      <c r="D57"/>
      <c r="I57"/>
      <c r="J57"/>
    </row>
    <row r="58" spans="2:10" ht="15" thickBot="1">
      <c r="B58" s="462" t="s">
        <v>165</v>
      </c>
      <c r="C58" s="270"/>
      <c r="D58" s="271" t="s">
        <v>871</v>
      </c>
      <c r="E58" s="271" t="s">
        <v>872</v>
      </c>
      <c r="F58" s="271" t="s">
        <v>873</v>
      </c>
      <c r="G58" s="271" t="s">
        <v>874</v>
      </c>
      <c r="H58" s="271" t="s">
        <v>875</v>
      </c>
      <c r="I58" s="415" t="s">
        <v>306</v>
      </c>
      <c r="J58" s="463" t="s">
        <v>879</v>
      </c>
    </row>
    <row r="59" spans="2:10">
      <c r="B59" s="424" t="s">
        <v>38</v>
      </c>
      <c r="D59" s="421"/>
      <c r="E59" s="421"/>
      <c r="F59" s="418">
        <v>1</v>
      </c>
      <c r="G59" s="411"/>
      <c r="H59" s="411"/>
      <c r="I59" s="431"/>
    </row>
    <row r="60" spans="2:10">
      <c r="B60" s="424" t="s">
        <v>135</v>
      </c>
      <c r="D60" s="421"/>
      <c r="E60" s="421"/>
      <c r="F60" s="418">
        <v>1</v>
      </c>
      <c r="G60" s="411"/>
      <c r="H60" s="411"/>
      <c r="I60" s="431"/>
    </row>
    <row r="61" spans="2:10">
      <c r="B61" s="424" t="s">
        <v>39</v>
      </c>
      <c r="D61" s="421"/>
      <c r="E61" s="421"/>
      <c r="F61" s="418">
        <v>1</v>
      </c>
      <c r="G61" s="411"/>
      <c r="H61" s="411"/>
      <c r="I61" s="431"/>
    </row>
    <row r="62" spans="2:10">
      <c r="B62" s="424" t="s">
        <v>40</v>
      </c>
      <c r="D62" s="421"/>
      <c r="E62" s="421"/>
      <c r="F62" s="418">
        <v>1</v>
      </c>
      <c r="G62" s="411"/>
      <c r="H62" s="411"/>
      <c r="I62" s="431"/>
    </row>
    <row r="63" spans="2:10">
      <c r="B63" s="424" t="s">
        <v>69</v>
      </c>
      <c r="D63" s="421"/>
      <c r="E63" s="421"/>
      <c r="F63" s="421"/>
      <c r="G63" s="411"/>
      <c r="H63" s="418">
        <v>1</v>
      </c>
      <c r="I63" s="431"/>
    </row>
    <row r="64" spans="2:10">
      <c r="B64" s="424" t="s">
        <v>60</v>
      </c>
      <c r="D64" s="421"/>
      <c r="E64" s="421"/>
      <c r="F64" s="421"/>
      <c r="G64" s="411"/>
      <c r="H64" s="418">
        <v>1</v>
      </c>
      <c r="I64" s="431"/>
    </row>
    <row r="65" spans="2:10">
      <c r="B65" s="424" t="s">
        <v>61</v>
      </c>
      <c r="D65" s="421"/>
      <c r="E65" s="421"/>
      <c r="F65" s="421"/>
      <c r="G65" s="411"/>
      <c r="H65" s="418">
        <v>1</v>
      </c>
      <c r="I65" s="431"/>
    </row>
    <row r="66" spans="2:10">
      <c r="B66" s="424" t="s">
        <v>627</v>
      </c>
      <c r="D66" s="421"/>
      <c r="E66" s="421"/>
      <c r="F66" s="421"/>
      <c r="G66" s="411"/>
      <c r="H66" s="418">
        <v>1</v>
      </c>
      <c r="I66" s="431"/>
    </row>
    <row r="68" spans="2:10">
      <c r="B68" s="428" t="s">
        <v>64</v>
      </c>
      <c r="D68" s="425"/>
      <c r="E68" s="424"/>
      <c r="F68" s="426">
        <f>'Planilha orçamento'!K312</f>
        <v>1827.7440000000001</v>
      </c>
      <c r="G68" s="426">
        <f>SUM('Planilha orçamento'!K300/2)</f>
        <v>37302.251124999995</v>
      </c>
      <c r="H68" s="426">
        <f>SUM('Planilha orçamento'!K324,'Planilha orçamento'!K328,'Planilha orçamento'!K300/2+'Planilha orçamento'!K315)</f>
        <v>84518.002305000002</v>
      </c>
      <c r="I68" s="430">
        <f>SUM(C68:H68)</f>
        <v>123647.99742999999</v>
      </c>
      <c r="J68" s="416">
        <f>I68/'Planilha orçamento'!K331</f>
        <v>1</v>
      </c>
    </row>
    <row r="69" spans="2:10">
      <c r="B69" s="427" t="s">
        <v>30</v>
      </c>
      <c r="D69" s="421"/>
      <c r="E69" s="421"/>
      <c r="F69" s="421"/>
      <c r="G69" s="419">
        <v>0.5</v>
      </c>
      <c r="H69" s="419">
        <v>0.5</v>
      </c>
      <c r="I69" s="431"/>
    </row>
    <row r="70" spans="2:10">
      <c r="B70" s="427" t="s">
        <v>130</v>
      </c>
      <c r="D70" s="421"/>
      <c r="E70" s="421"/>
      <c r="F70" s="418">
        <v>1</v>
      </c>
      <c r="G70" s="411"/>
      <c r="H70" s="411"/>
      <c r="I70" s="431"/>
    </row>
    <row r="71" spans="2:10">
      <c r="B71" s="427" t="s">
        <v>62</v>
      </c>
      <c r="D71" s="421"/>
      <c r="E71" s="421"/>
      <c r="F71" s="421"/>
      <c r="G71" s="418">
        <v>1</v>
      </c>
      <c r="H71" s="411"/>
      <c r="I71" s="431"/>
    </row>
    <row r="72" spans="2:10">
      <c r="B72" s="427" t="s">
        <v>65</v>
      </c>
      <c r="D72" s="421"/>
      <c r="E72" s="421"/>
      <c r="F72" s="421"/>
      <c r="G72" s="421"/>
      <c r="H72" s="418">
        <v>1</v>
      </c>
      <c r="I72" s="431"/>
    </row>
    <row r="73" spans="2:10">
      <c r="B73" s="427" t="s">
        <v>32</v>
      </c>
      <c r="D73" s="421"/>
      <c r="E73" s="421"/>
      <c r="F73" s="421"/>
      <c r="G73" s="421"/>
      <c r="H73" s="418">
        <v>1</v>
      </c>
      <c r="I73" s="431"/>
    </row>
    <row r="75" spans="2:10">
      <c r="B75" s="429" t="s">
        <v>878</v>
      </c>
      <c r="D75" s="425"/>
      <c r="E75" s="424"/>
      <c r="F75" s="424"/>
      <c r="G75" s="426">
        <f>'Planilha orçamento'!K349</f>
        <v>15095.251899999999</v>
      </c>
      <c r="H75" s="426">
        <f>SUM('Planilha orçamento'!K335,'Planilha orçamento'!K342)</f>
        <v>9645.2899500000003</v>
      </c>
      <c r="I75" s="431">
        <f>SUM(G75:H75)</f>
        <v>24740.541850000001</v>
      </c>
      <c r="J75" s="416">
        <f>I75/'Planilha orçamento'!K356</f>
        <v>1.0000000000000002</v>
      </c>
    </row>
    <row r="76" spans="2:10">
      <c r="B76" s="424" t="s">
        <v>23</v>
      </c>
      <c r="D76" s="421"/>
      <c r="E76" s="421"/>
      <c r="F76" s="421"/>
      <c r="G76" s="421"/>
      <c r="H76" s="418">
        <v>1</v>
      </c>
      <c r="I76" s="431"/>
    </row>
    <row r="77" spans="2:10">
      <c r="B77" s="424" t="s">
        <v>25</v>
      </c>
      <c r="D77" s="421"/>
      <c r="E77" s="421"/>
      <c r="F77" s="421"/>
      <c r="G77" s="421"/>
      <c r="H77" s="418">
        <v>1</v>
      </c>
      <c r="I77" s="431"/>
    </row>
    <row r="78" spans="2:10">
      <c r="B78" s="424" t="s">
        <v>58</v>
      </c>
      <c r="D78" s="421"/>
      <c r="E78" s="421"/>
      <c r="F78" s="421"/>
      <c r="G78" s="418">
        <v>1</v>
      </c>
      <c r="H78" s="421"/>
      <c r="I78" s="431"/>
    </row>
    <row r="80" spans="2:10">
      <c r="B80" s="429" t="s">
        <v>63</v>
      </c>
      <c r="D80" s="425"/>
      <c r="E80" s="424"/>
      <c r="F80" s="424"/>
      <c r="G80" s="426">
        <f>'Planilha orçamento'!K360</f>
        <v>2916.1000000000004</v>
      </c>
      <c r="H80" s="426">
        <f>'Planilha orçamento'!K364</f>
        <v>4368.125</v>
      </c>
      <c r="I80" s="431">
        <f>SUM(G80:H80)</f>
        <v>7284.2250000000004</v>
      </c>
      <c r="J80" s="416">
        <f>I80/'Planilha orçamento'!K370</f>
        <v>1</v>
      </c>
    </row>
    <row r="81" spans="2:10">
      <c r="B81" s="424" t="s">
        <v>433</v>
      </c>
      <c r="D81" s="421"/>
      <c r="E81" s="421"/>
      <c r="F81" s="421"/>
      <c r="G81" s="418">
        <v>1</v>
      </c>
      <c r="H81" s="411"/>
      <c r="I81" s="431"/>
    </row>
    <row r="82" spans="2:10">
      <c r="B82" s="424" t="s">
        <v>145</v>
      </c>
      <c r="D82" s="421"/>
      <c r="E82" s="421"/>
      <c r="F82" s="421"/>
      <c r="G82" s="421"/>
      <c r="H82" s="418">
        <v>1</v>
      </c>
      <c r="I82" s="431"/>
    </row>
    <row r="83" spans="2:10">
      <c r="D83"/>
      <c r="I83"/>
      <c r="J83"/>
    </row>
    <row r="84" spans="2:10">
      <c r="B84" s="544" t="s">
        <v>66</v>
      </c>
      <c r="D84" s="425"/>
      <c r="E84" s="424"/>
      <c r="F84" s="424"/>
      <c r="G84" s="424"/>
      <c r="H84" s="426">
        <f>'Planilha orçamento'!K372</f>
        <v>1563.9694999999997</v>
      </c>
      <c r="I84" s="431">
        <f>H84</f>
        <v>1563.9694999999997</v>
      </c>
      <c r="J84" s="416">
        <f>I84/'Planilha orçamento'!K376</f>
        <v>1</v>
      </c>
    </row>
    <row r="85" spans="2:10">
      <c r="B85" s="544"/>
      <c r="D85" s="421"/>
      <c r="E85" s="421"/>
      <c r="F85" s="421"/>
      <c r="G85" s="421"/>
      <c r="H85" s="418">
        <v>1</v>
      </c>
      <c r="I85" s="431"/>
    </row>
    <row r="86" spans="2:10">
      <c r="D86"/>
      <c r="I86"/>
      <c r="J86"/>
    </row>
    <row r="87" spans="2:10">
      <c r="B87" s="544" t="s">
        <v>67</v>
      </c>
      <c r="D87" s="424"/>
      <c r="E87" s="424"/>
      <c r="F87" s="424"/>
      <c r="G87" s="424"/>
      <c r="H87" s="426">
        <f>'Planilha orçamento'!K378</f>
        <v>4374.1499999999996</v>
      </c>
      <c r="I87" s="430">
        <f>H87</f>
        <v>4374.1499999999996</v>
      </c>
      <c r="J87" s="416">
        <f>I87/'Planilha orçamento'!K382</f>
        <v>1</v>
      </c>
    </row>
    <row r="88" spans="2:10">
      <c r="B88" s="544"/>
      <c r="D88" s="421"/>
      <c r="E88" s="421"/>
      <c r="F88" s="421"/>
      <c r="G88" s="421"/>
      <c r="H88" s="418">
        <v>1</v>
      </c>
      <c r="I88" s="431"/>
    </row>
    <row r="89" spans="2:10">
      <c r="D89"/>
      <c r="I89"/>
      <c r="J89"/>
    </row>
    <row r="90" spans="2:10">
      <c r="B90" s="544" t="s">
        <v>35</v>
      </c>
      <c r="D90" s="424"/>
      <c r="E90" s="424"/>
      <c r="F90" s="424"/>
      <c r="G90" s="424"/>
      <c r="H90" s="426">
        <f>'Planilha orçamento'!K389</f>
        <v>865.91300000000001</v>
      </c>
      <c r="I90" s="431">
        <f>H90</f>
        <v>865.91300000000001</v>
      </c>
      <c r="J90" s="416">
        <f>I90/'Planilha orçamento'!K389</f>
        <v>1</v>
      </c>
    </row>
    <row r="91" spans="2:10">
      <c r="B91" s="544"/>
      <c r="D91" s="421"/>
      <c r="E91" s="421"/>
      <c r="F91" s="421"/>
      <c r="G91" s="421"/>
      <c r="H91" s="418">
        <v>1</v>
      </c>
      <c r="I91" s="431"/>
    </row>
    <row r="92" spans="2:10">
      <c r="D92"/>
      <c r="I92"/>
      <c r="J92"/>
    </row>
    <row r="93" spans="2:10">
      <c r="B93" s="544" t="s">
        <v>68</v>
      </c>
      <c r="D93" s="424"/>
      <c r="E93" s="424"/>
      <c r="F93" s="424"/>
      <c r="G93" s="426">
        <f>'Planilha orçamento'!K392</f>
        <v>65070</v>
      </c>
      <c r="H93" s="426">
        <f>SUM('Planilha orçamento'!K393:K394)</f>
        <v>21530.626700000001</v>
      </c>
      <c r="I93" s="430">
        <f>SUM(G93:H93)</f>
        <v>86600.626699999993</v>
      </c>
      <c r="J93" s="416">
        <f>I93/'Planilha orçamento'!K396</f>
        <v>1</v>
      </c>
    </row>
    <row r="94" spans="2:10">
      <c r="B94" s="544"/>
      <c r="D94" s="421"/>
      <c r="E94" s="421"/>
      <c r="F94" s="421"/>
      <c r="G94" s="418">
        <f>G93/'Planilha orçamento'!K391</f>
        <v>0.75138024376444845</v>
      </c>
      <c r="H94" s="418">
        <f>H93/'Planilha orçamento'!K391</f>
        <v>0.2486197562355516</v>
      </c>
      <c r="I94" s="431"/>
    </row>
    <row r="95" spans="2:10" ht="15" thickBot="1"/>
    <row r="96" spans="2:10" ht="15" thickBot="1">
      <c r="D96" s="271" t="s">
        <v>871</v>
      </c>
      <c r="E96" s="271" t="s">
        <v>872</v>
      </c>
      <c r="F96" s="271" t="s">
        <v>873</v>
      </c>
      <c r="G96" s="271" t="s">
        <v>874</v>
      </c>
      <c r="H96" s="271" t="s">
        <v>875</v>
      </c>
      <c r="I96" s="415" t="s">
        <v>306</v>
      </c>
    </row>
    <row r="98" spans="1:58">
      <c r="B98" s="432" t="s">
        <v>881</v>
      </c>
      <c r="C98" s="432"/>
      <c r="D98" s="433">
        <f>SUM(D20,D25,D43)</f>
        <v>77636.501758080005</v>
      </c>
      <c r="E98" s="430">
        <f>SUM(E43,E37,E30,)</f>
        <v>139569.35093750001</v>
      </c>
      <c r="F98" s="430">
        <f>SUM(F68,F55,F43,F37,F30)</f>
        <v>48113.697899999999</v>
      </c>
      <c r="G98" s="430">
        <f>SUM(G93,G80,G75,G68,G40)</f>
        <v>143991.52922500001</v>
      </c>
      <c r="H98" s="430">
        <f>SUM(H93,H90,H87,H84,H80,H75,H68,H55,H43)</f>
        <v>240609.35225499998</v>
      </c>
      <c r="I98" s="444">
        <f>SUM(D98:H98)</f>
        <v>649920.43207558</v>
      </c>
      <c r="J98" s="434">
        <f>I98/'Planilha orçamento'!K398</f>
        <v>1</v>
      </c>
    </row>
    <row r="99" spans="1:58">
      <c r="B99" s="435" t="s">
        <v>882</v>
      </c>
      <c r="C99" s="435"/>
      <c r="D99" s="436">
        <f>D98/I98</f>
        <v>0.11945539473215325</v>
      </c>
      <c r="E99" s="437">
        <f>E98/I98</f>
        <v>0.21474836618349202</v>
      </c>
      <c r="F99" s="437">
        <f>F98/I98</f>
        <v>7.4030135883471959E-2</v>
      </c>
      <c r="G99" s="437">
        <f>G98/I98</f>
        <v>0.22155255031012022</v>
      </c>
      <c r="H99" s="437">
        <f>H98/I98</f>
        <v>0.37021355289076252</v>
      </c>
      <c r="I99" s="437"/>
      <c r="J99" s="437"/>
    </row>
    <row r="100" spans="1:58">
      <c r="B100" s="438" t="s">
        <v>880</v>
      </c>
      <c r="C100" s="438"/>
      <c r="D100" s="439"/>
      <c r="E100" s="440">
        <f>E98+D98</f>
        <v>217205.85269558002</v>
      </c>
      <c r="F100" s="440">
        <f>E100+F98</f>
        <v>265319.55059558002</v>
      </c>
      <c r="G100" s="440">
        <f>F100+G98</f>
        <v>409311.07982058002</v>
      </c>
      <c r="H100" s="440">
        <f>G100+H98</f>
        <v>649920.43207558</v>
      </c>
      <c r="I100" s="441"/>
      <c r="J100" s="442"/>
    </row>
    <row r="101" spans="1:58">
      <c r="B101" s="435" t="s">
        <v>883</v>
      </c>
      <c r="C101" s="435"/>
      <c r="D101" s="436">
        <v>0</v>
      </c>
      <c r="E101" s="437">
        <f>E100/I98</f>
        <v>0.3342037609156453</v>
      </c>
      <c r="F101" s="437">
        <f>F100/I98</f>
        <v>0.40823389679911726</v>
      </c>
      <c r="G101" s="437">
        <f>G100/I98</f>
        <v>0.62978644710923748</v>
      </c>
      <c r="H101" s="437">
        <f>H100/I98</f>
        <v>1</v>
      </c>
      <c r="I101" s="443"/>
      <c r="J101" s="437"/>
    </row>
    <row r="103" spans="1:58" s="446" customFormat="1" ht="22.5" customHeight="1">
      <c r="A103" s="445"/>
      <c r="B103" s="450" t="s">
        <v>884</v>
      </c>
      <c r="C103" s="451"/>
      <c r="D103" s="452" t="s">
        <v>134</v>
      </c>
      <c r="E103" s="451"/>
      <c r="F103" s="453"/>
      <c r="G103" s="454"/>
      <c r="H103" s="454"/>
      <c r="I103" s="454"/>
      <c r="J103" s="455"/>
      <c r="K103" s="448"/>
      <c r="L103" s="448"/>
      <c r="M103" s="448"/>
      <c r="N103" s="448"/>
      <c r="O103" s="447"/>
      <c r="P103" s="447"/>
      <c r="Q103" s="447"/>
      <c r="R103" s="447"/>
      <c r="S103" s="447"/>
      <c r="T103" s="447"/>
      <c r="U103" s="447"/>
      <c r="V103" s="447"/>
      <c r="W103" s="447"/>
      <c r="X103" s="447"/>
      <c r="Y103" s="447"/>
      <c r="Z103" s="447"/>
      <c r="AA103" s="447"/>
      <c r="AB103" s="447"/>
      <c r="AC103" s="447"/>
      <c r="AD103" s="447"/>
      <c r="AE103" s="447"/>
      <c r="AF103" s="447"/>
      <c r="AG103" s="447"/>
      <c r="AH103" s="447"/>
      <c r="AI103" s="447"/>
      <c r="AJ103" s="447"/>
      <c r="AK103" s="447"/>
      <c r="AL103" s="447"/>
      <c r="AM103" s="447"/>
      <c r="AN103" s="447"/>
      <c r="AO103" s="447"/>
      <c r="AP103" s="447"/>
      <c r="AQ103" s="447"/>
      <c r="AR103" s="447"/>
      <c r="AS103" s="447"/>
      <c r="AT103" s="447"/>
      <c r="AU103" s="447"/>
      <c r="AV103" s="447"/>
      <c r="AW103" s="447"/>
      <c r="AX103" s="447"/>
      <c r="AY103" s="447"/>
      <c r="AZ103" s="447"/>
      <c r="BA103" s="447"/>
      <c r="BB103" s="447"/>
      <c r="BC103" s="447"/>
      <c r="BD103" s="447"/>
      <c r="BE103" s="447"/>
      <c r="BF103" s="447"/>
    </row>
    <row r="104" spans="1:58" s="446" customFormat="1" ht="22.2" customHeight="1">
      <c r="A104" s="445"/>
      <c r="B104" s="456" t="s">
        <v>45</v>
      </c>
      <c r="C104" s="457"/>
      <c r="D104" s="458" t="s">
        <v>474</v>
      </c>
      <c r="E104" s="457"/>
      <c r="F104" s="459"/>
      <c r="G104" s="460"/>
      <c r="H104" s="460"/>
      <c r="I104" s="460"/>
      <c r="J104" s="461"/>
      <c r="K104" s="449"/>
      <c r="L104" s="449"/>
      <c r="M104" s="449"/>
      <c r="N104" s="449"/>
      <c r="O104" s="447"/>
      <c r="P104" s="447"/>
      <c r="Q104" s="447"/>
      <c r="R104" s="447"/>
      <c r="S104" s="447"/>
      <c r="T104" s="447"/>
      <c r="U104" s="447"/>
      <c r="V104" s="447"/>
      <c r="W104" s="447"/>
      <c r="X104" s="447"/>
      <c r="Y104" s="447"/>
      <c r="Z104" s="447"/>
      <c r="AA104" s="447"/>
      <c r="AB104" s="447"/>
      <c r="AC104" s="447"/>
      <c r="AD104" s="447"/>
      <c r="AE104" s="447"/>
      <c r="AF104" s="447"/>
      <c r="AG104" s="447"/>
      <c r="AH104" s="447"/>
      <c r="AI104" s="447"/>
      <c r="AJ104" s="447"/>
      <c r="AK104" s="447"/>
      <c r="AL104" s="447"/>
      <c r="AM104" s="447"/>
      <c r="AN104" s="447"/>
      <c r="AO104" s="447"/>
      <c r="AP104" s="447"/>
      <c r="AQ104" s="447"/>
      <c r="AR104" s="447"/>
      <c r="AS104" s="447"/>
      <c r="AT104" s="447"/>
      <c r="AU104" s="447"/>
      <c r="AV104" s="447"/>
      <c r="AW104" s="447"/>
      <c r="AX104" s="447"/>
      <c r="AY104" s="447"/>
      <c r="AZ104" s="447"/>
      <c r="BA104" s="447"/>
      <c r="BB104" s="447"/>
      <c r="BC104" s="447"/>
      <c r="BD104" s="447"/>
      <c r="BE104" s="447"/>
      <c r="BF104" s="447"/>
    </row>
  </sheetData>
  <mergeCells count="6">
    <mergeCell ref="B16:J16"/>
    <mergeCell ref="D13:F13"/>
    <mergeCell ref="B93:B94"/>
    <mergeCell ref="B90:B91"/>
    <mergeCell ref="B87:B88"/>
    <mergeCell ref="B84:B85"/>
  </mergeCells>
  <pageMargins left="0.51181102362204722" right="0.51181102362204722" top="0.78740157480314965" bottom="0.78740157480314965" header="0.31496062992125984" footer="0.31496062992125984"/>
  <pageSetup paperSize="9" scale="67" fitToHeight="0" orientation="landscape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96"/>
  <sheetViews>
    <sheetView topLeftCell="A314" zoomScaleNormal="100" workbookViewId="0">
      <selection activeCell="C327" sqref="C327:D327"/>
    </sheetView>
  </sheetViews>
  <sheetFormatPr defaultRowHeight="14.4"/>
  <cols>
    <col min="1" max="1" width="8.109375" customWidth="1"/>
    <col min="2" max="2" width="12.88671875" style="321" customWidth="1"/>
    <col min="3" max="3" width="124.6640625" customWidth="1"/>
    <col min="4" max="4" width="14.44140625" bestFit="1" customWidth="1"/>
    <col min="5" max="5" width="37" customWidth="1"/>
    <col min="7" max="7" width="71.44140625" bestFit="1" customWidth="1"/>
    <col min="8" max="8" width="9.5546875" bestFit="1" customWidth="1"/>
  </cols>
  <sheetData>
    <row r="1" spans="1:5" ht="17.399999999999999">
      <c r="A1" s="566"/>
      <c r="B1" s="567"/>
      <c r="C1" s="567"/>
      <c r="D1" s="567"/>
      <c r="E1" s="567"/>
    </row>
    <row r="2" spans="1:5" ht="17.399999999999999">
      <c r="A2" s="137"/>
      <c r="B2" s="353"/>
      <c r="C2" s="138"/>
      <c r="D2" s="138"/>
      <c r="E2" s="138"/>
    </row>
    <row r="3" spans="1:5" ht="17.399999999999999">
      <c r="A3" s="137"/>
      <c r="B3" s="353"/>
      <c r="C3" s="191" t="s">
        <v>618</v>
      </c>
      <c r="D3" s="138"/>
      <c r="E3" s="138"/>
    </row>
    <row r="4" spans="1:5" ht="17.399999999999999">
      <c r="A4" s="137"/>
      <c r="B4" s="353"/>
      <c r="C4" s="6"/>
      <c r="D4" s="138"/>
      <c r="E4" s="138"/>
    </row>
    <row r="5" spans="1:5" ht="18" thickBot="1">
      <c r="C5" s="147"/>
    </row>
    <row r="6" spans="1:5" ht="18.600000000000001" thickBot="1">
      <c r="A6" s="569" t="s">
        <v>164</v>
      </c>
      <c r="B6" s="570"/>
      <c r="C6" s="570"/>
      <c r="D6" s="570"/>
      <c r="E6" s="570"/>
    </row>
    <row r="7" spans="1:5" ht="15" thickBot="1">
      <c r="A7" s="36"/>
      <c r="B7" s="361"/>
      <c r="C7" s="39"/>
      <c r="D7" s="39"/>
      <c r="E7" s="39"/>
    </row>
    <row r="8" spans="1:5">
      <c r="A8" s="322" t="s">
        <v>4</v>
      </c>
      <c r="B8" s="362" t="s">
        <v>3</v>
      </c>
      <c r="C8" s="324" t="s">
        <v>165</v>
      </c>
      <c r="D8" s="323" t="s">
        <v>166</v>
      </c>
      <c r="E8" s="325" t="s">
        <v>610</v>
      </c>
    </row>
    <row r="9" spans="1:5">
      <c r="A9" s="326" t="s">
        <v>171</v>
      </c>
      <c r="B9" s="363" t="s">
        <v>172</v>
      </c>
      <c r="C9" s="43" t="s">
        <v>477</v>
      </c>
      <c r="D9" s="38" t="s">
        <v>34</v>
      </c>
      <c r="E9" s="334">
        <v>1795.27</v>
      </c>
    </row>
    <row r="10" spans="1:5">
      <c r="A10" s="332"/>
      <c r="B10" s="344"/>
      <c r="C10" s="547" t="s">
        <v>167</v>
      </c>
      <c r="D10" s="547"/>
      <c r="E10" s="328" t="s">
        <v>164</v>
      </c>
    </row>
    <row r="11" spans="1:5" ht="15" thickBot="1">
      <c r="A11" s="333"/>
      <c r="B11" s="357"/>
      <c r="C11" s="556" t="s">
        <v>241</v>
      </c>
      <c r="D11" s="556"/>
      <c r="E11" s="348">
        <f>E9</f>
        <v>1795.27</v>
      </c>
    </row>
    <row r="12" spans="1:5" ht="15" thickBot="1"/>
    <row r="13" spans="1:5">
      <c r="A13" s="322" t="s">
        <v>4</v>
      </c>
      <c r="B13" s="362" t="s">
        <v>3</v>
      </c>
      <c r="C13" s="324" t="s">
        <v>165</v>
      </c>
      <c r="D13" s="323" t="s">
        <v>166</v>
      </c>
      <c r="E13" s="325" t="s">
        <v>610</v>
      </c>
    </row>
    <row r="14" spans="1:5">
      <c r="A14" s="326" t="s">
        <v>171</v>
      </c>
      <c r="B14" s="363" t="s">
        <v>176</v>
      </c>
      <c r="C14" s="43" t="s">
        <v>1001</v>
      </c>
      <c r="D14" s="38" t="s">
        <v>34</v>
      </c>
      <c r="E14" s="334">
        <f>E16</f>
        <v>4.4800000000000004</v>
      </c>
    </row>
    <row r="15" spans="1:5">
      <c r="A15" s="332"/>
      <c r="B15" s="524"/>
      <c r="C15" s="547" t="s">
        <v>167</v>
      </c>
      <c r="D15" s="547"/>
      <c r="E15" s="328" t="s">
        <v>164</v>
      </c>
    </row>
    <row r="16" spans="1:5" ht="15" thickBot="1">
      <c r="A16" s="333"/>
      <c r="B16" s="525"/>
      <c r="C16" s="556" t="s">
        <v>241</v>
      </c>
      <c r="D16" s="556"/>
      <c r="E16" s="348">
        <v>4.4800000000000004</v>
      </c>
    </row>
    <row r="17" spans="1:5" ht="15" thickBot="1"/>
    <row r="18" spans="1:5">
      <c r="A18" s="322" t="s">
        <v>4</v>
      </c>
      <c r="B18" s="362" t="s">
        <v>3</v>
      </c>
      <c r="C18" s="324" t="s">
        <v>165</v>
      </c>
      <c r="D18" s="323" t="s">
        <v>166</v>
      </c>
      <c r="E18" s="325" t="s">
        <v>610</v>
      </c>
    </row>
    <row r="19" spans="1:5">
      <c r="A19" s="326" t="s">
        <v>171</v>
      </c>
      <c r="B19" s="363" t="s">
        <v>178</v>
      </c>
      <c r="C19" s="43" t="s">
        <v>900</v>
      </c>
      <c r="D19" s="38" t="s">
        <v>13</v>
      </c>
      <c r="E19" s="334">
        <f>E21</f>
        <v>5.62</v>
      </c>
    </row>
    <row r="20" spans="1:5">
      <c r="A20" s="332"/>
      <c r="B20" s="470" t="s">
        <v>163</v>
      </c>
      <c r="C20" s="547" t="s">
        <v>167</v>
      </c>
      <c r="D20" s="547"/>
      <c r="E20" s="328" t="s">
        <v>164</v>
      </c>
    </row>
    <row r="21" spans="1:5">
      <c r="A21" s="332"/>
      <c r="B21" s="398"/>
      <c r="C21" s="545" t="s">
        <v>36</v>
      </c>
      <c r="D21" s="546"/>
      <c r="E21" s="336">
        <v>5.62</v>
      </c>
    </row>
    <row r="22" spans="1:5" ht="15" thickBot="1">
      <c r="A22" s="333"/>
      <c r="B22" s="471"/>
      <c r="C22" s="549"/>
      <c r="D22" s="550"/>
      <c r="E22" s="348"/>
    </row>
    <row r="23" spans="1:5" ht="15" thickBot="1"/>
    <row r="24" spans="1:5">
      <c r="A24" s="322" t="s">
        <v>4</v>
      </c>
      <c r="B24" s="362" t="s">
        <v>3</v>
      </c>
      <c r="C24" s="324" t="s">
        <v>165</v>
      </c>
      <c r="D24" s="323" t="s">
        <v>166</v>
      </c>
      <c r="E24" s="325" t="s">
        <v>610</v>
      </c>
    </row>
    <row r="25" spans="1:5">
      <c r="A25" s="326" t="s">
        <v>171</v>
      </c>
      <c r="B25" s="363" t="s">
        <v>179</v>
      </c>
      <c r="C25" s="43" t="s">
        <v>901</v>
      </c>
      <c r="D25" s="38" t="s">
        <v>13</v>
      </c>
      <c r="E25" s="334">
        <v>14.65</v>
      </c>
    </row>
    <row r="26" spans="1:5">
      <c r="A26" s="332"/>
      <c r="B26" s="470" t="s">
        <v>163</v>
      </c>
      <c r="C26" s="547" t="s">
        <v>167</v>
      </c>
      <c r="D26" s="547"/>
      <c r="E26" s="328" t="s">
        <v>164</v>
      </c>
    </row>
    <row r="27" spans="1:5">
      <c r="A27" s="332"/>
      <c r="B27" s="398"/>
      <c r="C27" s="545" t="s">
        <v>36</v>
      </c>
      <c r="D27" s="546"/>
      <c r="E27" s="336">
        <v>14.65</v>
      </c>
    </row>
    <row r="28" spans="1:5" ht="15" thickBot="1">
      <c r="A28" s="333"/>
      <c r="B28" s="471"/>
      <c r="C28" s="549"/>
      <c r="D28" s="550"/>
      <c r="E28" s="348"/>
    </row>
    <row r="29" spans="1:5" ht="15" thickBot="1"/>
    <row r="30" spans="1:5">
      <c r="A30" s="322" t="s">
        <v>4</v>
      </c>
      <c r="B30" s="362" t="s">
        <v>3</v>
      </c>
      <c r="C30" s="324" t="s">
        <v>165</v>
      </c>
      <c r="D30" s="323" t="s">
        <v>166</v>
      </c>
      <c r="E30" s="325" t="s">
        <v>610</v>
      </c>
    </row>
    <row r="31" spans="1:5">
      <c r="A31" s="326" t="s">
        <v>171</v>
      </c>
      <c r="B31" s="363" t="s">
        <v>180</v>
      </c>
      <c r="C31" s="43" t="s">
        <v>902</v>
      </c>
      <c r="D31" s="38" t="s">
        <v>13</v>
      </c>
      <c r="E31" s="334">
        <v>22.43</v>
      </c>
    </row>
    <row r="32" spans="1:5">
      <c r="A32" s="332"/>
      <c r="B32" s="470" t="s">
        <v>163</v>
      </c>
      <c r="C32" s="547" t="s">
        <v>167</v>
      </c>
      <c r="D32" s="547"/>
      <c r="E32" s="328" t="s">
        <v>164</v>
      </c>
    </row>
    <row r="33" spans="1:6">
      <c r="A33" s="332"/>
      <c r="B33" s="398"/>
      <c r="C33" s="545" t="s">
        <v>36</v>
      </c>
      <c r="D33" s="546"/>
      <c r="E33" s="336">
        <v>22.431999999999999</v>
      </c>
    </row>
    <row r="34" spans="1:6" ht="15" thickBot="1">
      <c r="A34" s="333"/>
      <c r="B34" s="471"/>
      <c r="C34" s="549"/>
      <c r="D34" s="550"/>
      <c r="E34" s="348"/>
    </row>
    <row r="35" spans="1:6" ht="15" thickBot="1"/>
    <row r="36" spans="1:6">
      <c r="A36" s="322" t="s">
        <v>4</v>
      </c>
      <c r="B36" s="362" t="s">
        <v>3</v>
      </c>
      <c r="C36" s="324" t="s">
        <v>165</v>
      </c>
      <c r="D36" s="323" t="s">
        <v>166</v>
      </c>
      <c r="E36" s="325" t="s">
        <v>610</v>
      </c>
      <c r="F36" s="37"/>
    </row>
    <row r="37" spans="1:6">
      <c r="A37" s="326" t="s">
        <v>171</v>
      </c>
      <c r="B37" s="363" t="s">
        <v>478</v>
      </c>
      <c r="C37" s="43" t="s">
        <v>356</v>
      </c>
      <c r="D37" s="38" t="s">
        <v>34</v>
      </c>
      <c r="E37" s="334">
        <f>E39</f>
        <v>33.9</v>
      </c>
      <c r="F37" s="37"/>
    </row>
    <row r="38" spans="1:6">
      <c r="A38" s="327"/>
      <c r="B38" s="344" t="s">
        <v>163</v>
      </c>
      <c r="C38" s="547" t="s">
        <v>167</v>
      </c>
      <c r="D38" s="547"/>
      <c r="E38" s="328" t="s">
        <v>164</v>
      </c>
    </row>
    <row r="39" spans="1:6">
      <c r="A39" s="327"/>
      <c r="B39" s="344"/>
      <c r="C39" s="545" t="s">
        <v>335</v>
      </c>
      <c r="D39" s="546"/>
      <c r="E39" s="335">
        <v>33.9</v>
      </c>
    </row>
    <row r="40" spans="1:6">
      <c r="A40" s="327"/>
      <c r="B40" s="344"/>
      <c r="C40" s="545" t="s">
        <v>336</v>
      </c>
      <c r="D40" s="546"/>
      <c r="E40" s="335">
        <v>43.99</v>
      </c>
    </row>
    <row r="41" spans="1:6">
      <c r="A41" s="327"/>
      <c r="B41" s="344"/>
      <c r="C41" s="545" t="s">
        <v>169</v>
      </c>
      <c r="D41" s="562"/>
      <c r="E41" s="336">
        <v>43.69</v>
      </c>
    </row>
    <row r="42" spans="1:6" ht="15" thickBot="1">
      <c r="A42" s="329"/>
      <c r="B42" s="364" t="s">
        <v>358</v>
      </c>
      <c r="C42" s="560" t="s">
        <v>355</v>
      </c>
      <c r="D42" s="561"/>
      <c r="E42" s="337"/>
    </row>
    <row r="43" spans="1:6">
      <c r="A43" s="626"/>
      <c r="B43" s="527"/>
      <c r="C43" s="624"/>
      <c r="D43" s="624"/>
      <c r="E43" s="42"/>
    </row>
    <row r="44" spans="1:6">
      <c r="A44" s="626"/>
      <c r="B44" s="527"/>
      <c r="C44" s="624"/>
      <c r="D44" s="624"/>
      <c r="E44" s="42"/>
    </row>
    <row r="45" spans="1:6">
      <c r="A45" s="626"/>
      <c r="B45" s="527"/>
      <c r="C45" s="624"/>
      <c r="D45" s="624"/>
      <c r="E45" s="42"/>
    </row>
    <row r="46" spans="1:6">
      <c r="A46" s="626"/>
      <c r="B46" s="527"/>
      <c r="C46" s="624"/>
      <c r="D46" s="624"/>
      <c r="E46" s="42"/>
    </row>
    <row r="47" spans="1:6" ht="15" thickBot="1">
      <c r="A47" s="39"/>
      <c r="B47" s="361"/>
      <c r="C47" s="39"/>
      <c r="D47" s="39"/>
      <c r="E47" s="39"/>
    </row>
    <row r="48" spans="1:6">
      <c r="A48" s="322" t="s">
        <v>4</v>
      </c>
      <c r="B48" s="362" t="s">
        <v>3</v>
      </c>
      <c r="C48" s="324" t="s">
        <v>165</v>
      </c>
      <c r="D48" s="323" t="s">
        <v>166</v>
      </c>
      <c r="E48" s="325" t="s">
        <v>610</v>
      </c>
    </row>
    <row r="49" spans="1:5">
      <c r="A49" s="326" t="s">
        <v>171</v>
      </c>
      <c r="B49" s="363" t="s">
        <v>558</v>
      </c>
      <c r="C49" s="43" t="s">
        <v>233</v>
      </c>
      <c r="D49" s="38" t="s">
        <v>34</v>
      </c>
      <c r="E49" s="334">
        <f>E51</f>
        <v>35.72</v>
      </c>
    </row>
    <row r="50" spans="1:5">
      <c r="A50" s="332"/>
      <c r="B50" s="344" t="s">
        <v>163</v>
      </c>
      <c r="C50" s="547" t="s">
        <v>167</v>
      </c>
      <c r="D50" s="547"/>
      <c r="E50" s="328" t="s">
        <v>164</v>
      </c>
    </row>
    <row r="51" spans="1:5">
      <c r="A51" s="332"/>
      <c r="B51" s="344"/>
      <c r="C51" s="545" t="s">
        <v>241</v>
      </c>
      <c r="D51" s="546"/>
      <c r="E51" s="335">
        <v>35.72</v>
      </c>
    </row>
    <row r="52" spans="1:5" ht="15" thickBot="1">
      <c r="A52" s="333"/>
      <c r="B52" s="364" t="s">
        <v>173</v>
      </c>
      <c r="C52" s="549"/>
      <c r="D52" s="550"/>
      <c r="E52" s="337"/>
    </row>
    <row r="53" spans="1:5" ht="15" thickBot="1"/>
    <row r="54" spans="1:5">
      <c r="A54" s="322" t="s">
        <v>4</v>
      </c>
      <c r="B54" s="362" t="s">
        <v>3</v>
      </c>
      <c r="C54" s="324" t="s">
        <v>165</v>
      </c>
      <c r="D54" s="323" t="s">
        <v>166</v>
      </c>
      <c r="E54" s="325" t="s">
        <v>610</v>
      </c>
    </row>
    <row r="55" spans="1:5">
      <c r="A55" s="326" t="s">
        <v>171</v>
      </c>
      <c r="B55" s="363" t="s">
        <v>560</v>
      </c>
      <c r="C55" s="43" t="s">
        <v>175</v>
      </c>
      <c r="D55" s="38" t="s">
        <v>34</v>
      </c>
      <c r="E55" s="334">
        <f>E57</f>
        <v>31.37</v>
      </c>
    </row>
    <row r="56" spans="1:5">
      <c r="A56" s="327"/>
      <c r="B56" s="344" t="s">
        <v>163</v>
      </c>
      <c r="C56" s="547" t="s">
        <v>167</v>
      </c>
      <c r="D56" s="547"/>
      <c r="E56" s="328" t="s">
        <v>164</v>
      </c>
    </row>
    <row r="57" spans="1:5">
      <c r="A57" s="327"/>
      <c r="B57" s="344"/>
      <c r="C57" s="545" t="s">
        <v>174</v>
      </c>
      <c r="D57" s="546"/>
      <c r="E57" s="335">
        <v>31.37</v>
      </c>
    </row>
    <row r="58" spans="1:5">
      <c r="A58" s="327"/>
      <c r="B58" s="344"/>
      <c r="C58" s="545" t="s">
        <v>335</v>
      </c>
      <c r="D58" s="546"/>
      <c r="E58" s="336">
        <v>49.9</v>
      </c>
    </row>
    <row r="59" spans="1:5">
      <c r="A59" s="327"/>
      <c r="B59" s="344"/>
      <c r="C59" s="545" t="s">
        <v>169</v>
      </c>
      <c r="D59" s="562"/>
      <c r="E59" s="335">
        <v>68.47</v>
      </c>
    </row>
    <row r="60" spans="1:5" ht="15" thickBot="1">
      <c r="A60" s="329"/>
      <c r="B60" s="364" t="s">
        <v>358</v>
      </c>
      <c r="C60" s="560" t="s">
        <v>357</v>
      </c>
      <c r="D60" s="561"/>
      <c r="E60" s="337"/>
    </row>
    <row r="61" spans="1:5" ht="15" thickBot="1">
      <c r="A61" s="39"/>
      <c r="B61" s="361"/>
      <c r="C61" s="39"/>
      <c r="D61" s="39"/>
      <c r="E61" s="39"/>
    </row>
    <row r="62" spans="1:5">
      <c r="A62" s="322" t="s">
        <v>4</v>
      </c>
      <c r="B62" s="362" t="s">
        <v>3</v>
      </c>
      <c r="C62" s="324" t="s">
        <v>165</v>
      </c>
      <c r="D62" s="323" t="s">
        <v>166</v>
      </c>
      <c r="E62" s="325" t="s">
        <v>610</v>
      </c>
    </row>
    <row r="63" spans="1:5">
      <c r="A63" s="326" t="s">
        <v>171</v>
      </c>
      <c r="B63" s="363" t="s">
        <v>181</v>
      </c>
      <c r="C63" s="43" t="s">
        <v>177</v>
      </c>
      <c r="D63" s="38" t="s">
        <v>34</v>
      </c>
      <c r="E63" s="334">
        <f>E65</f>
        <v>407.7</v>
      </c>
    </row>
    <row r="64" spans="1:5">
      <c r="A64" s="327"/>
      <c r="B64" s="344" t="s">
        <v>163</v>
      </c>
      <c r="C64" s="547" t="s">
        <v>167</v>
      </c>
      <c r="D64" s="547"/>
      <c r="E64" s="328" t="s">
        <v>164</v>
      </c>
    </row>
    <row r="65" spans="1:5">
      <c r="A65" s="327"/>
      <c r="B65" s="359"/>
      <c r="C65" s="568" t="s">
        <v>360</v>
      </c>
      <c r="D65" s="568"/>
      <c r="E65" s="336">
        <v>407.7</v>
      </c>
    </row>
    <row r="66" spans="1:5">
      <c r="A66" s="327"/>
      <c r="B66" s="344"/>
      <c r="C66" s="545" t="s">
        <v>350</v>
      </c>
      <c r="D66" s="562"/>
      <c r="E66" s="336">
        <v>464.5</v>
      </c>
    </row>
    <row r="67" spans="1:5">
      <c r="A67" s="327"/>
      <c r="B67" s="344"/>
      <c r="C67" s="545" t="s">
        <v>335</v>
      </c>
      <c r="D67" s="546"/>
      <c r="E67" s="335">
        <v>498.02</v>
      </c>
    </row>
    <row r="68" spans="1:5" ht="15" thickBot="1">
      <c r="A68" s="329"/>
      <c r="B68" s="364" t="s">
        <v>358</v>
      </c>
      <c r="C68" s="560" t="s">
        <v>359</v>
      </c>
      <c r="D68" s="561"/>
      <c r="E68" s="337"/>
    </row>
    <row r="69" spans="1:5" ht="15" thickBot="1"/>
    <row r="70" spans="1:5">
      <c r="A70" s="322" t="s">
        <v>4</v>
      </c>
      <c r="B70" s="362" t="s">
        <v>3</v>
      </c>
      <c r="C70" s="324" t="s">
        <v>165</v>
      </c>
      <c r="D70" s="323" t="s">
        <v>166</v>
      </c>
      <c r="E70" s="325" t="s">
        <v>610</v>
      </c>
    </row>
    <row r="71" spans="1:5">
      <c r="A71" s="326" t="s">
        <v>171</v>
      </c>
      <c r="B71" s="363" t="s">
        <v>182</v>
      </c>
      <c r="C71" s="43" t="s">
        <v>334</v>
      </c>
      <c r="D71" s="38" t="s">
        <v>34</v>
      </c>
      <c r="E71" s="334">
        <f>E74</f>
        <v>2161</v>
      </c>
    </row>
    <row r="72" spans="1:5">
      <c r="A72" s="332"/>
      <c r="B72" s="344"/>
      <c r="C72" s="547" t="s">
        <v>167</v>
      </c>
      <c r="D72" s="547"/>
      <c r="E72" s="328" t="s">
        <v>164</v>
      </c>
    </row>
    <row r="73" spans="1:5">
      <c r="A73" s="332"/>
      <c r="B73" s="344"/>
      <c r="C73" s="548" t="s">
        <v>332</v>
      </c>
      <c r="D73" s="548"/>
      <c r="E73" s="335">
        <v>2359</v>
      </c>
    </row>
    <row r="74" spans="1:5">
      <c r="A74" s="332"/>
      <c r="B74" s="359"/>
      <c r="C74" s="139" t="s">
        <v>333</v>
      </c>
      <c r="D74" s="140"/>
      <c r="E74" s="335">
        <v>2161</v>
      </c>
    </row>
    <row r="75" spans="1:5" ht="15" thickBot="1">
      <c r="A75" s="333"/>
      <c r="B75" s="364" t="s">
        <v>173</v>
      </c>
      <c r="C75" s="549"/>
      <c r="D75" s="550"/>
      <c r="E75" s="337"/>
    </row>
    <row r="76" spans="1:5" ht="15" thickBot="1"/>
    <row r="77" spans="1:5">
      <c r="A77" s="322" t="s">
        <v>4</v>
      </c>
      <c r="B77" s="362" t="s">
        <v>3</v>
      </c>
      <c r="C77" s="324" t="s">
        <v>165</v>
      </c>
      <c r="D77" s="323" t="s">
        <v>166</v>
      </c>
      <c r="E77" s="325" t="s">
        <v>610</v>
      </c>
    </row>
    <row r="78" spans="1:5">
      <c r="A78" s="326" t="s">
        <v>171</v>
      </c>
      <c r="B78" s="363" t="s">
        <v>183</v>
      </c>
      <c r="C78" s="43" t="s">
        <v>205</v>
      </c>
      <c r="D78" s="38" t="s">
        <v>34</v>
      </c>
      <c r="E78" s="334">
        <f>E82</f>
        <v>185.17</v>
      </c>
    </row>
    <row r="79" spans="1:5">
      <c r="A79" s="332"/>
      <c r="B79" s="344" t="s">
        <v>163</v>
      </c>
      <c r="C79" s="547" t="s">
        <v>167</v>
      </c>
      <c r="D79" s="547"/>
      <c r="E79" s="328" t="s">
        <v>164</v>
      </c>
    </row>
    <row r="80" spans="1:5">
      <c r="A80" s="332"/>
      <c r="B80" s="344"/>
      <c r="C80" s="545" t="s">
        <v>168</v>
      </c>
      <c r="D80" s="546"/>
      <c r="E80" s="335">
        <v>370</v>
      </c>
    </row>
    <row r="81" spans="1:5">
      <c r="A81" s="327"/>
      <c r="B81" s="359"/>
      <c r="C81" s="545" t="s">
        <v>349</v>
      </c>
      <c r="D81" s="562"/>
      <c r="E81" s="336">
        <v>249.4</v>
      </c>
    </row>
    <row r="82" spans="1:5">
      <c r="A82" s="327"/>
      <c r="B82" s="359"/>
      <c r="C82" s="545" t="s">
        <v>572</v>
      </c>
      <c r="D82" s="562"/>
      <c r="E82" s="336">
        <v>185.17</v>
      </c>
    </row>
    <row r="83" spans="1:5" ht="15" thickBot="1">
      <c r="A83" s="333"/>
      <c r="B83" s="357" t="s">
        <v>358</v>
      </c>
      <c r="C83" s="560" t="s">
        <v>573</v>
      </c>
      <c r="D83" s="561"/>
      <c r="E83" s="337"/>
    </row>
    <row r="84" spans="1:5" ht="15" thickBot="1"/>
    <row r="85" spans="1:5">
      <c r="A85" s="322" t="s">
        <v>4</v>
      </c>
      <c r="B85" s="362" t="s">
        <v>3</v>
      </c>
      <c r="C85" s="324" t="s">
        <v>165</v>
      </c>
      <c r="D85" s="323" t="s">
        <v>166</v>
      </c>
      <c r="E85" s="325" t="s">
        <v>610</v>
      </c>
    </row>
    <row r="86" spans="1:5">
      <c r="A86" s="326" t="s">
        <v>171</v>
      </c>
      <c r="B86" s="363" t="s">
        <v>184</v>
      </c>
      <c r="C86" s="141" t="s">
        <v>575</v>
      </c>
      <c r="D86" s="38" t="s">
        <v>34</v>
      </c>
      <c r="E86" s="334">
        <f>E88</f>
        <v>10.14</v>
      </c>
    </row>
    <row r="87" spans="1:5">
      <c r="A87" s="332"/>
      <c r="B87" s="344" t="s">
        <v>163</v>
      </c>
      <c r="C87" s="545" t="s">
        <v>167</v>
      </c>
      <c r="D87" s="546"/>
      <c r="E87" s="328" t="s">
        <v>164</v>
      </c>
    </row>
    <row r="88" spans="1:5">
      <c r="A88" s="327"/>
      <c r="B88" s="359"/>
      <c r="C88" s="545" t="s">
        <v>241</v>
      </c>
      <c r="D88" s="562"/>
      <c r="E88" s="336">
        <v>10.14</v>
      </c>
    </row>
    <row r="89" spans="1:5" ht="15" thickBot="1">
      <c r="A89" s="333"/>
      <c r="B89" s="357" t="s">
        <v>358</v>
      </c>
      <c r="C89" s="549"/>
      <c r="D89" s="550"/>
      <c r="E89" s="337"/>
    </row>
    <row r="90" spans="1:5">
      <c r="A90" s="330"/>
      <c r="B90" s="527"/>
      <c r="C90" s="41"/>
      <c r="D90" s="41"/>
      <c r="E90" s="42"/>
    </row>
    <row r="91" spans="1:5">
      <c r="A91" s="330"/>
      <c r="B91" s="527"/>
      <c r="C91" s="41"/>
      <c r="D91" s="41"/>
      <c r="E91" s="42"/>
    </row>
    <row r="92" spans="1:5">
      <c r="A92" s="330"/>
      <c r="B92" s="527"/>
      <c r="C92" s="41"/>
      <c r="D92" s="41"/>
      <c r="E92" s="42"/>
    </row>
    <row r="93" spans="1:5">
      <c r="A93" s="330"/>
      <c r="B93" s="527"/>
      <c r="C93" s="41"/>
      <c r="D93" s="41"/>
      <c r="E93" s="42"/>
    </row>
    <row r="94" spans="1:5">
      <c r="A94" s="330"/>
      <c r="B94" s="527"/>
      <c r="C94" s="41"/>
      <c r="D94" s="41"/>
      <c r="E94" s="42"/>
    </row>
    <row r="95" spans="1:5" ht="15" thickBot="1"/>
    <row r="96" spans="1:5">
      <c r="A96" s="322" t="s">
        <v>4</v>
      </c>
      <c r="B96" s="362" t="s">
        <v>3</v>
      </c>
      <c r="C96" s="324" t="s">
        <v>165</v>
      </c>
      <c r="D96" s="323" t="s">
        <v>166</v>
      </c>
      <c r="E96" s="325" t="s">
        <v>610</v>
      </c>
    </row>
    <row r="97" spans="1:5">
      <c r="A97" s="326" t="s">
        <v>171</v>
      </c>
      <c r="B97" s="363" t="s">
        <v>185</v>
      </c>
      <c r="C97" s="43" t="s">
        <v>272</v>
      </c>
      <c r="D97" s="38" t="s">
        <v>34</v>
      </c>
      <c r="E97" s="334">
        <f>E99</f>
        <v>109.96</v>
      </c>
    </row>
    <row r="98" spans="1:5">
      <c r="A98" s="332"/>
      <c r="B98" s="344" t="s">
        <v>163</v>
      </c>
      <c r="C98" s="547" t="s">
        <v>167</v>
      </c>
      <c r="D98" s="547"/>
      <c r="E98" s="328" t="s">
        <v>164</v>
      </c>
    </row>
    <row r="99" spans="1:5">
      <c r="A99" s="332"/>
      <c r="B99" s="344"/>
      <c r="C99" s="545" t="s">
        <v>241</v>
      </c>
      <c r="D99" s="546"/>
      <c r="E99" s="335">
        <v>109.96</v>
      </c>
    </row>
    <row r="100" spans="1:5" ht="15" thickBot="1">
      <c r="A100" s="333"/>
      <c r="B100" s="364" t="s">
        <v>173</v>
      </c>
      <c r="C100" s="549"/>
      <c r="D100" s="550"/>
      <c r="E100" s="337"/>
    </row>
    <row r="101" spans="1:5" ht="15" thickBot="1"/>
    <row r="102" spans="1:5">
      <c r="A102" s="322" t="s">
        <v>4</v>
      </c>
      <c r="B102" s="362" t="s">
        <v>3</v>
      </c>
      <c r="C102" s="324" t="s">
        <v>165</v>
      </c>
      <c r="D102" s="323" t="s">
        <v>166</v>
      </c>
      <c r="E102" s="325" t="s">
        <v>610</v>
      </c>
    </row>
    <row r="103" spans="1:5">
      <c r="A103" s="326" t="s">
        <v>171</v>
      </c>
      <c r="B103" s="363" t="s">
        <v>186</v>
      </c>
      <c r="C103" s="43" t="s">
        <v>214</v>
      </c>
      <c r="D103" s="38" t="s">
        <v>34</v>
      </c>
      <c r="E103" s="334">
        <f>E106</f>
        <v>26.99</v>
      </c>
    </row>
    <row r="104" spans="1:5">
      <c r="A104" s="332"/>
      <c r="B104" s="344" t="s">
        <v>163</v>
      </c>
      <c r="C104" s="547" t="s">
        <v>167</v>
      </c>
      <c r="D104" s="547"/>
      <c r="E104" s="328" t="s">
        <v>164</v>
      </c>
    </row>
    <row r="105" spans="1:5">
      <c r="A105" s="332"/>
      <c r="B105" s="344"/>
      <c r="C105" s="545" t="s">
        <v>170</v>
      </c>
      <c r="D105" s="546"/>
      <c r="E105" s="335">
        <v>30.43</v>
      </c>
    </row>
    <row r="106" spans="1:5">
      <c r="A106" s="327"/>
      <c r="B106" s="359"/>
      <c r="C106" s="545" t="s">
        <v>611</v>
      </c>
      <c r="D106" s="562"/>
      <c r="E106" s="336">
        <v>26.99</v>
      </c>
    </row>
    <row r="107" spans="1:5">
      <c r="A107" s="327"/>
      <c r="B107" s="359"/>
      <c r="C107" s="139"/>
      <c r="D107" s="140"/>
      <c r="E107" s="336"/>
    </row>
    <row r="108" spans="1:5" ht="15" thickBot="1">
      <c r="A108" s="333"/>
      <c r="B108" s="364" t="s">
        <v>173</v>
      </c>
      <c r="C108" s="560" t="s">
        <v>584</v>
      </c>
      <c r="D108" s="561"/>
      <c r="E108" s="337"/>
    </row>
    <row r="109" spans="1:5" ht="15" thickBot="1"/>
    <row r="110" spans="1:5">
      <c r="A110" s="322" t="s">
        <v>4</v>
      </c>
      <c r="B110" s="362" t="s">
        <v>3</v>
      </c>
      <c r="C110" s="324" t="s">
        <v>165</v>
      </c>
      <c r="D110" s="323" t="s">
        <v>166</v>
      </c>
      <c r="E110" s="325" t="s">
        <v>610</v>
      </c>
    </row>
    <row r="111" spans="1:5" ht="27">
      <c r="A111" s="326" t="s">
        <v>171</v>
      </c>
      <c r="B111" s="363" t="s">
        <v>187</v>
      </c>
      <c r="C111" s="141" t="s">
        <v>580</v>
      </c>
      <c r="D111" s="38" t="s">
        <v>34</v>
      </c>
      <c r="E111" s="334">
        <f>E113</f>
        <v>91.18</v>
      </c>
    </row>
    <row r="112" spans="1:5">
      <c r="A112" s="332"/>
      <c r="B112" s="344" t="s">
        <v>163</v>
      </c>
      <c r="C112" s="545" t="s">
        <v>167</v>
      </c>
      <c r="D112" s="546"/>
      <c r="E112" s="328" t="s">
        <v>164</v>
      </c>
    </row>
    <row r="113" spans="1:5">
      <c r="A113" s="332"/>
      <c r="B113" s="344"/>
      <c r="C113" s="545" t="s">
        <v>241</v>
      </c>
      <c r="D113" s="546"/>
      <c r="E113" s="335">
        <v>91.18</v>
      </c>
    </row>
    <row r="114" spans="1:5" ht="16.95" customHeight="1" thickBot="1">
      <c r="A114" s="333"/>
      <c r="B114" s="364" t="s">
        <v>173</v>
      </c>
      <c r="C114" s="571" t="s">
        <v>583</v>
      </c>
      <c r="D114" s="572"/>
      <c r="E114" s="337"/>
    </row>
    <row r="115" spans="1:5" ht="15" thickBot="1"/>
    <row r="116" spans="1:5">
      <c r="A116" s="322" t="s">
        <v>4</v>
      </c>
      <c r="B116" s="362" t="s">
        <v>3</v>
      </c>
      <c r="C116" s="324" t="s">
        <v>165</v>
      </c>
      <c r="D116" s="323" t="s">
        <v>166</v>
      </c>
      <c r="E116" s="325" t="s">
        <v>610</v>
      </c>
    </row>
    <row r="117" spans="1:5">
      <c r="A117" s="326" t="s">
        <v>171</v>
      </c>
      <c r="B117" s="363" t="s">
        <v>188</v>
      </c>
      <c r="C117" s="43" t="s">
        <v>490</v>
      </c>
      <c r="D117" s="38" t="s">
        <v>34</v>
      </c>
      <c r="E117" s="334">
        <f>E119</f>
        <v>2088.75</v>
      </c>
    </row>
    <row r="118" spans="1:5">
      <c r="A118" s="332"/>
      <c r="B118" s="344" t="s">
        <v>163</v>
      </c>
      <c r="C118" s="547" t="s">
        <v>167</v>
      </c>
      <c r="D118" s="547"/>
      <c r="E118" s="328" t="s">
        <v>164</v>
      </c>
    </row>
    <row r="119" spans="1:5">
      <c r="A119" s="332"/>
      <c r="B119" s="345"/>
      <c r="C119" s="547" t="s">
        <v>491</v>
      </c>
      <c r="D119" s="547"/>
      <c r="E119" s="339">
        <v>2088.75</v>
      </c>
    </row>
    <row r="120" spans="1:5">
      <c r="A120" s="332"/>
      <c r="B120" s="344"/>
      <c r="C120" s="547" t="s">
        <v>343</v>
      </c>
      <c r="D120" s="547"/>
      <c r="E120" s="339">
        <v>2101.75</v>
      </c>
    </row>
    <row r="121" spans="1:5">
      <c r="A121" s="332"/>
      <c r="B121" s="345"/>
      <c r="C121" s="547" t="s">
        <v>492</v>
      </c>
      <c r="D121" s="547"/>
      <c r="E121" s="339">
        <v>2151.6</v>
      </c>
    </row>
    <row r="122" spans="1:5" ht="15" thickBot="1">
      <c r="A122" s="333"/>
      <c r="B122" s="366" t="s">
        <v>493</v>
      </c>
      <c r="C122" s="351" t="s">
        <v>494</v>
      </c>
      <c r="D122" s="350"/>
      <c r="E122" s="352"/>
    </row>
    <row r="123" spans="1:5" ht="15" thickBot="1"/>
    <row r="124" spans="1:5">
      <c r="A124" s="322" t="s">
        <v>4</v>
      </c>
      <c r="B124" s="362" t="s">
        <v>3</v>
      </c>
      <c r="C124" s="324" t="s">
        <v>165</v>
      </c>
      <c r="D124" s="323" t="s">
        <v>166</v>
      </c>
      <c r="E124" s="325" t="s">
        <v>610</v>
      </c>
    </row>
    <row r="125" spans="1:5">
      <c r="A125" s="326" t="s">
        <v>171</v>
      </c>
      <c r="B125" s="363" t="s">
        <v>189</v>
      </c>
      <c r="C125" s="43" t="s">
        <v>495</v>
      </c>
      <c r="D125" s="38" t="s">
        <v>34</v>
      </c>
      <c r="E125" s="334">
        <f>E127</f>
        <v>73.8</v>
      </c>
    </row>
    <row r="126" spans="1:5">
      <c r="A126" s="332"/>
      <c r="B126" s="344" t="s">
        <v>163</v>
      </c>
      <c r="C126" s="545" t="s">
        <v>167</v>
      </c>
      <c r="D126" s="546"/>
      <c r="E126" s="328" t="s">
        <v>164</v>
      </c>
    </row>
    <row r="127" spans="1:5" ht="15" thickBot="1">
      <c r="A127" s="333"/>
      <c r="B127" s="349"/>
      <c r="C127" s="549" t="s">
        <v>241</v>
      </c>
      <c r="D127" s="551"/>
      <c r="E127" s="348">
        <v>73.8</v>
      </c>
    </row>
    <row r="128" spans="1:5" ht="15" thickBot="1">
      <c r="B128" s="346"/>
      <c r="C128" s="41"/>
      <c r="D128" s="41"/>
      <c r="E128" s="347"/>
    </row>
    <row r="129" spans="1:5">
      <c r="A129" s="322" t="s">
        <v>4</v>
      </c>
      <c r="B129" s="362" t="s">
        <v>3</v>
      </c>
      <c r="C129" s="324" t="s">
        <v>165</v>
      </c>
      <c r="D129" s="323" t="s">
        <v>166</v>
      </c>
      <c r="E129" s="325" t="s">
        <v>610</v>
      </c>
    </row>
    <row r="130" spans="1:5">
      <c r="A130" s="326" t="s">
        <v>171</v>
      </c>
      <c r="B130" s="363" t="s">
        <v>190</v>
      </c>
      <c r="C130" s="43" t="s">
        <v>277</v>
      </c>
      <c r="D130" s="38" t="s">
        <v>34</v>
      </c>
      <c r="E130" s="334">
        <f>E132</f>
        <v>113.91</v>
      </c>
    </row>
    <row r="131" spans="1:5">
      <c r="A131" s="332"/>
      <c r="B131" s="344"/>
      <c r="C131" s="547" t="s">
        <v>167</v>
      </c>
      <c r="D131" s="547"/>
      <c r="E131" s="328" t="s">
        <v>164</v>
      </c>
    </row>
    <row r="132" spans="1:5" ht="15" thickBot="1">
      <c r="A132" s="333"/>
      <c r="B132" s="357"/>
      <c r="C132" s="549" t="s">
        <v>241</v>
      </c>
      <c r="D132" s="551"/>
      <c r="E132" s="348">
        <v>113.91</v>
      </c>
    </row>
    <row r="133" spans="1:5" ht="15" thickBot="1"/>
    <row r="134" spans="1:5">
      <c r="A134" s="322" t="s">
        <v>4</v>
      </c>
      <c r="B134" s="362" t="s">
        <v>3</v>
      </c>
      <c r="C134" s="324" t="s">
        <v>165</v>
      </c>
      <c r="D134" s="323" t="s">
        <v>166</v>
      </c>
      <c r="E134" s="325" t="s">
        <v>610</v>
      </c>
    </row>
    <row r="135" spans="1:5">
      <c r="A135" s="326" t="s">
        <v>171</v>
      </c>
      <c r="B135" s="363" t="s">
        <v>191</v>
      </c>
      <c r="C135" s="360" t="s">
        <v>932</v>
      </c>
      <c r="D135" s="38" t="s">
        <v>34</v>
      </c>
      <c r="E135" s="334">
        <f>E137</f>
        <v>177.59</v>
      </c>
    </row>
    <row r="136" spans="1:5">
      <c r="A136" s="332"/>
      <c r="B136" s="344"/>
      <c r="C136" s="545" t="s">
        <v>167</v>
      </c>
      <c r="D136" s="546"/>
      <c r="E136" s="328" t="s">
        <v>164</v>
      </c>
    </row>
    <row r="137" spans="1:5" s="321" customFormat="1" ht="15" thickBot="1">
      <c r="A137" s="356"/>
      <c r="B137" s="349"/>
      <c r="C137" s="552" t="s">
        <v>508</v>
      </c>
      <c r="D137" s="553"/>
      <c r="E137" s="358">
        <v>177.59</v>
      </c>
    </row>
    <row r="138" spans="1:5" s="321" customFormat="1">
      <c r="A138" s="346"/>
      <c r="B138" s="346"/>
      <c r="C138" s="527"/>
      <c r="D138" s="527"/>
      <c r="E138" s="627"/>
    </row>
    <row r="139" spans="1:5" s="321" customFormat="1">
      <c r="A139" s="346"/>
      <c r="B139" s="346"/>
      <c r="C139" s="527"/>
      <c r="D139" s="527"/>
      <c r="E139" s="627"/>
    </row>
    <row r="140" spans="1:5" s="321" customFormat="1">
      <c r="A140" s="346"/>
      <c r="B140" s="346"/>
      <c r="C140" s="527"/>
      <c r="D140" s="527"/>
      <c r="E140" s="627"/>
    </row>
    <row r="141" spans="1:5" s="321" customFormat="1">
      <c r="A141" s="346"/>
      <c r="B141" s="346"/>
      <c r="C141" s="527"/>
      <c r="D141" s="527"/>
      <c r="E141" s="627"/>
    </row>
    <row r="142" spans="1:5" ht="15" thickBot="1"/>
    <row r="143" spans="1:5">
      <c r="A143" s="322" t="s">
        <v>4</v>
      </c>
      <c r="B143" s="362" t="s">
        <v>3</v>
      </c>
      <c r="C143" s="324" t="s">
        <v>165</v>
      </c>
      <c r="D143" s="323" t="s">
        <v>166</v>
      </c>
      <c r="E143" s="325" t="s">
        <v>610</v>
      </c>
    </row>
    <row r="144" spans="1:5">
      <c r="A144" s="326" t="s">
        <v>171</v>
      </c>
      <c r="B144" s="363" t="s">
        <v>192</v>
      </c>
      <c r="C144" s="360" t="s">
        <v>933</v>
      </c>
      <c r="D144" s="38" t="s">
        <v>34</v>
      </c>
      <c r="E144" s="334">
        <v>116.87</v>
      </c>
    </row>
    <row r="145" spans="1:5">
      <c r="A145" s="332"/>
      <c r="B145" s="344"/>
      <c r="C145" s="545" t="s">
        <v>167</v>
      </c>
      <c r="D145" s="546"/>
      <c r="E145" s="328" t="s">
        <v>164</v>
      </c>
    </row>
    <row r="146" spans="1:5" s="321" customFormat="1" ht="15" thickBot="1">
      <c r="A146" s="356"/>
      <c r="B146" s="349"/>
      <c r="C146" s="552" t="s">
        <v>508</v>
      </c>
      <c r="D146" s="553"/>
      <c r="E146" s="358">
        <v>116.87</v>
      </c>
    </row>
    <row r="147" spans="1:5" ht="15" thickBot="1"/>
    <row r="148" spans="1:5">
      <c r="A148" s="322" t="s">
        <v>4</v>
      </c>
      <c r="B148" s="362" t="s">
        <v>3</v>
      </c>
      <c r="C148" s="324" t="s">
        <v>165</v>
      </c>
      <c r="D148" s="323" t="s">
        <v>166</v>
      </c>
      <c r="E148" s="325" t="s">
        <v>610</v>
      </c>
    </row>
    <row r="149" spans="1:5">
      <c r="A149" s="326" t="s">
        <v>171</v>
      </c>
      <c r="B149" s="363" t="s">
        <v>193</v>
      </c>
      <c r="C149" s="43" t="s">
        <v>625</v>
      </c>
      <c r="D149" s="38" t="s">
        <v>13</v>
      </c>
      <c r="E149" s="334">
        <f>E151</f>
        <v>6.22</v>
      </c>
    </row>
    <row r="150" spans="1:5">
      <c r="A150" s="332"/>
      <c r="B150" s="344" t="s">
        <v>163</v>
      </c>
      <c r="C150" s="547" t="s">
        <v>167</v>
      </c>
      <c r="D150" s="547"/>
      <c r="E150" s="328" t="s">
        <v>164</v>
      </c>
    </row>
    <row r="151" spans="1:5">
      <c r="A151" s="332"/>
      <c r="B151" s="344"/>
      <c r="C151" s="545" t="s">
        <v>241</v>
      </c>
      <c r="D151" s="546"/>
      <c r="E151" s="335">
        <v>6.22</v>
      </c>
    </row>
    <row r="152" spans="1:5" ht="15" thickBot="1">
      <c r="A152" s="333"/>
      <c r="B152" s="364" t="s">
        <v>173</v>
      </c>
      <c r="C152" s="549"/>
      <c r="D152" s="550"/>
      <c r="E152" s="337"/>
    </row>
    <row r="153" spans="1:5" ht="15" thickBot="1"/>
    <row r="154" spans="1:5">
      <c r="A154" s="322" t="s">
        <v>4</v>
      </c>
      <c r="B154" s="362" t="s">
        <v>3</v>
      </c>
      <c r="C154" s="324" t="s">
        <v>165</v>
      </c>
      <c r="D154" s="323" t="s">
        <v>166</v>
      </c>
      <c r="E154" s="325" t="s">
        <v>610</v>
      </c>
    </row>
    <row r="155" spans="1:5">
      <c r="A155" s="326" t="s">
        <v>171</v>
      </c>
      <c r="B155" s="363" t="s">
        <v>194</v>
      </c>
      <c r="C155" s="43" t="s">
        <v>948</v>
      </c>
      <c r="D155" s="38" t="s">
        <v>34</v>
      </c>
      <c r="E155" s="334">
        <f>E158</f>
        <v>17.010000000000002</v>
      </c>
    </row>
    <row r="156" spans="1:5">
      <c r="A156" s="332"/>
      <c r="B156" s="344"/>
      <c r="C156" s="545" t="s">
        <v>167</v>
      </c>
      <c r="D156" s="546"/>
      <c r="E156" s="328" t="s">
        <v>164</v>
      </c>
    </row>
    <row r="157" spans="1:5">
      <c r="A157" s="332"/>
      <c r="B157" s="344"/>
      <c r="C157" s="545" t="s">
        <v>349</v>
      </c>
      <c r="D157" s="546"/>
      <c r="E157" s="335">
        <v>18.91</v>
      </c>
    </row>
    <row r="158" spans="1:5" ht="15" thickBot="1">
      <c r="A158" s="333"/>
      <c r="B158" s="364"/>
      <c r="C158" s="549" t="s">
        <v>612</v>
      </c>
      <c r="D158" s="550"/>
      <c r="E158" s="337">
        <v>17.010000000000002</v>
      </c>
    </row>
    <row r="159" spans="1:5" ht="15" thickBot="1"/>
    <row r="160" spans="1:5">
      <c r="A160" s="322" t="s">
        <v>4</v>
      </c>
      <c r="B160" s="362" t="s">
        <v>3</v>
      </c>
      <c r="C160" s="324" t="s">
        <v>165</v>
      </c>
      <c r="D160" s="323" t="s">
        <v>166</v>
      </c>
      <c r="E160" s="325" t="s">
        <v>610</v>
      </c>
    </row>
    <row r="161" spans="1:5">
      <c r="A161" s="326" t="s">
        <v>171</v>
      </c>
      <c r="B161" s="363" t="s">
        <v>198</v>
      </c>
      <c r="C161" s="43" t="s">
        <v>125</v>
      </c>
      <c r="D161" s="38" t="s">
        <v>34</v>
      </c>
      <c r="E161" s="334">
        <f>E163</f>
        <v>123.2</v>
      </c>
    </row>
    <row r="162" spans="1:5">
      <c r="A162" s="332"/>
      <c r="B162" s="344"/>
      <c r="C162" s="545" t="s">
        <v>167</v>
      </c>
      <c r="D162" s="546"/>
      <c r="E162" s="328" t="s">
        <v>164</v>
      </c>
    </row>
    <row r="163" spans="1:5">
      <c r="A163" s="332"/>
      <c r="B163" s="344"/>
      <c r="C163" s="545" t="s">
        <v>613</v>
      </c>
      <c r="D163" s="546"/>
      <c r="E163" s="335">
        <v>123.2</v>
      </c>
    </row>
    <row r="164" spans="1:5" ht="15" thickBot="1">
      <c r="A164" s="333"/>
      <c r="B164" s="364"/>
      <c r="C164" s="549" t="s">
        <v>343</v>
      </c>
      <c r="D164" s="550"/>
      <c r="E164" s="337">
        <v>160.83000000000001</v>
      </c>
    </row>
    <row r="165" spans="1:5" ht="15" thickBot="1"/>
    <row r="166" spans="1:5">
      <c r="A166" s="322" t="s">
        <v>4</v>
      </c>
      <c r="B166" s="362" t="s">
        <v>3</v>
      </c>
      <c r="C166" s="324" t="s">
        <v>165</v>
      </c>
      <c r="D166" s="323" t="s">
        <v>166</v>
      </c>
      <c r="E166" s="325" t="s">
        <v>610</v>
      </c>
    </row>
    <row r="167" spans="1:5">
      <c r="A167" s="326" t="s">
        <v>171</v>
      </c>
      <c r="B167" s="363" t="s">
        <v>199</v>
      </c>
      <c r="C167" s="43" t="s">
        <v>951</v>
      </c>
      <c r="D167" s="38" t="s">
        <v>34</v>
      </c>
      <c r="E167" s="334">
        <f>E169</f>
        <v>33.6</v>
      </c>
    </row>
    <row r="168" spans="1:5">
      <c r="A168" s="332"/>
      <c r="B168" s="344" t="s">
        <v>163</v>
      </c>
      <c r="C168" s="547" t="s">
        <v>167</v>
      </c>
      <c r="D168" s="547"/>
      <c r="E168" s="328" t="s">
        <v>164</v>
      </c>
    </row>
    <row r="169" spans="1:5">
      <c r="A169" s="332"/>
      <c r="B169" s="344"/>
      <c r="C169" s="548" t="s">
        <v>614</v>
      </c>
      <c r="D169" s="548"/>
      <c r="E169" s="335">
        <v>33.6</v>
      </c>
    </row>
    <row r="170" spans="1:5" ht="15" thickBot="1">
      <c r="A170" s="333"/>
      <c r="B170" s="364"/>
      <c r="C170" s="549" t="s">
        <v>349</v>
      </c>
      <c r="D170" s="550"/>
      <c r="E170" s="337">
        <v>38.299999999999997</v>
      </c>
    </row>
    <row r="171" spans="1:5" ht="15" thickBot="1"/>
    <row r="172" spans="1:5">
      <c r="A172" s="322" t="s">
        <v>4</v>
      </c>
      <c r="B172" s="362" t="s">
        <v>3</v>
      </c>
      <c r="C172" s="324" t="s">
        <v>165</v>
      </c>
      <c r="D172" s="323" t="s">
        <v>166</v>
      </c>
      <c r="E172" s="325" t="s">
        <v>610</v>
      </c>
    </row>
    <row r="173" spans="1:5">
      <c r="A173" s="326" t="s">
        <v>171</v>
      </c>
      <c r="B173" s="363" t="s">
        <v>200</v>
      </c>
      <c r="C173" s="43" t="s">
        <v>126</v>
      </c>
      <c r="D173" s="38" t="s">
        <v>34</v>
      </c>
      <c r="E173" s="334">
        <f>E175</f>
        <v>19.88</v>
      </c>
    </row>
    <row r="174" spans="1:5">
      <c r="A174" s="332"/>
      <c r="B174" s="344" t="s">
        <v>163</v>
      </c>
      <c r="C174" s="547" t="s">
        <v>167</v>
      </c>
      <c r="D174" s="547"/>
      <c r="E174" s="328" t="s">
        <v>164</v>
      </c>
    </row>
    <row r="175" spans="1:5">
      <c r="A175" s="332"/>
      <c r="B175" s="344"/>
      <c r="C175" s="548" t="s">
        <v>343</v>
      </c>
      <c r="D175" s="548"/>
      <c r="E175" s="335">
        <v>19.88</v>
      </c>
    </row>
    <row r="176" spans="1:5" ht="15" thickBot="1">
      <c r="A176" s="333"/>
      <c r="B176" s="364"/>
      <c r="C176" s="549" t="s">
        <v>615</v>
      </c>
      <c r="D176" s="550"/>
      <c r="E176" s="337">
        <v>20.97</v>
      </c>
    </row>
    <row r="177" spans="1:5" ht="15" thickBot="1"/>
    <row r="178" spans="1:5">
      <c r="A178" s="322" t="s">
        <v>4</v>
      </c>
      <c r="B178" s="362" t="s">
        <v>3</v>
      </c>
      <c r="C178" s="324" t="s">
        <v>165</v>
      </c>
      <c r="D178" s="323" t="s">
        <v>166</v>
      </c>
      <c r="E178" s="325" t="s">
        <v>610</v>
      </c>
    </row>
    <row r="179" spans="1:5">
      <c r="A179" s="326" t="s">
        <v>171</v>
      </c>
      <c r="B179" s="363" t="s">
        <v>201</v>
      </c>
      <c r="C179" s="43" t="s">
        <v>128</v>
      </c>
      <c r="D179" s="38" t="s">
        <v>34</v>
      </c>
      <c r="E179" s="334">
        <f>E182</f>
        <v>94.9</v>
      </c>
    </row>
    <row r="180" spans="1:5">
      <c r="A180" s="332"/>
      <c r="B180" s="344" t="s">
        <v>163</v>
      </c>
      <c r="C180" s="547" t="s">
        <v>167</v>
      </c>
      <c r="D180" s="547"/>
      <c r="E180" s="328" t="s">
        <v>164</v>
      </c>
    </row>
    <row r="181" spans="1:5" ht="15" thickBot="1">
      <c r="A181" s="332"/>
      <c r="B181" s="344"/>
      <c r="C181" s="549" t="s">
        <v>349</v>
      </c>
      <c r="D181" s="550"/>
      <c r="E181" s="335">
        <v>99.9</v>
      </c>
    </row>
    <row r="182" spans="1:5" ht="15" thickBot="1">
      <c r="A182" s="333"/>
      <c r="B182" s="364"/>
      <c r="C182" s="549" t="s">
        <v>346</v>
      </c>
      <c r="D182" s="550"/>
      <c r="E182" s="337">
        <v>94.9</v>
      </c>
    </row>
    <row r="183" spans="1:5" ht="15" thickBot="1"/>
    <row r="184" spans="1:5">
      <c r="A184" s="322" t="s">
        <v>4</v>
      </c>
      <c r="B184" s="362" t="s">
        <v>3</v>
      </c>
      <c r="C184" s="324" t="s">
        <v>165</v>
      </c>
      <c r="D184" s="323" t="s">
        <v>166</v>
      </c>
      <c r="E184" s="325" t="s">
        <v>610</v>
      </c>
    </row>
    <row r="185" spans="1:5">
      <c r="A185" s="326" t="s">
        <v>171</v>
      </c>
      <c r="B185" s="363" t="s">
        <v>204</v>
      </c>
      <c r="C185" s="43" t="s">
        <v>952</v>
      </c>
      <c r="D185" s="38" t="s">
        <v>34</v>
      </c>
      <c r="E185" s="334">
        <f>E187</f>
        <v>23.58</v>
      </c>
    </row>
    <row r="186" spans="1:5">
      <c r="A186" s="332"/>
      <c r="B186" s="344" t="s">
        <v>163</v>
      </c>
      <c r="C186" s="547" t="s">
        <v>167</v>
      </c>
      <c r="D186" s="547"/>
      <c r="E186" s="328" t="s">
        <v>164</v>
      </c>
    </row>
    <row r="187" spans="1:5">
      <c r="A187" s="332"/>
      <c r="B187" s="344"/>
      <c r="C187" s="548" t="s">
        <v>349</v>
      </c>
      <c r="D187" s="548"/>
      <c r="E187" s="335">
        <v>23.58</v>
      </c>
    </row>
    <row r="188" spans="1:5" ht="15" thickBot="1">
      <c r="A188" s="333"/>
      <c r="B188" s="364"/>
      <c r="C188" s="549" t="s">
        <v>170</v>
      </c>
      <c r="D188" s="550"/>
      <c r="E188" s="337">
        <v>37.5</v>
      </c>
    </row>
    <row r="189" spans="1:5">
      <c r="A189" s="330"/>
      <c r="B189" s="527"/>
      <c r="C189" s="41"/>
      <c r="D189" s="41"/>
      <c r="E189" s="42"/>
    </row>
    <row r="190" spans="1:5" ht="15" thickBot="1"/>
    <row r="191" spans="1:5">
      <c r="A191" s="322" t="s">
        <v>4</v>
      </c>
      <c r="B191" s="362" t="s">
        <v>3</v>
      </c>
      <c r="C191" s="324" t="s">
        <v>165</v>
      </c>
      <c r="D191" s="323" t="s">
        <v>166</v>
      </c>
      <c r="E191" s="325" t="s">
        <v>610</v>
      </c>
    </row>
    <row r="192" spans="1:5">
      <c r="A192" s="326" t="s">
        <v>171</v>
      </c>
      <c r="B192" s="363" t="s">
        <v>206</v>
      </c>
      <c r="C192" s="43" t="s">
        <v>280</v>
      </c>
      <c r="D192" s="38" t="s">
        <v>34</v>
      </c>
      <c r="E192" s="334">
        <f>E194</f>
        <v>187.63</v>
      </c>
    </row>
    <row r="193" spans="1:5">
      <c r="A193" s="332"/>
      <c r="B193" s="344" t="s">
        <v>163</v>
      </c>
      <c r="C193" s="547" t="s">
        <v>167</v>
      </c>
      <c r="D193" s="547"/>
      <c r="E193" s="328" t="s">
        <v>164</v>
      </c>
    </row>
    <row r="194" spans="1:5" ht="15" thickBot="1">
      <c r="A194" s="333"/>
      <c r="B194" s="357"/>
      <c r="C194" s="549" t="s">
        <v>241</v>
      </c>
      <c r="D194" s="551"/>
      <c r="E194" s="348">
        <v>187.63</v>
      </c>
    </row>
    <row r="195" spans="1:5" ht="15" thickBot="1"/>
    <row r="196" spans="1:5">
      <c r="A196" s="322" t="s">
        <v>4</v>
      </c>
      <c r="B196" s="362" t="s">
        <v>3</v>
      </c>
      <c r="C196" s="324" t="s">
        <v>165</v>
      </c>
      <c r="D196" s="323" t="s">
        <v>166</v>
      </c>
      <c r="E196" s="325" t="s">
        <v>610</v>
      </c>
    </row>
    <row r="197" spans="1:5">
      <c r="A197" s="326" t="s">
        <v>171</v>
      </c>
      <c r="B197" s="363" t="s">
        <v>207</v>
      </c>
      <c r="C197" s="360" t="s">
        <v>546</v>
      </c>
      <c r="D197" s="38" t="s">
        <v>34</v>
      </c>
      <c r="E197" s="334">
        <f>E199</f>
        <v>1889.55</v>
      </c>
    </row>
    <row r="198" spans="1:5">
      <c r="A198" s="332"/>
      <c r="B198" s="524"/>
      <c r="C198" s="545" t="s">
        <v>167</v>
      </c>
      <c r="D198" s="546"/>
      <c r="E198" s="328" t="s">
        <v>164</v>
      </c>
    </row>
    <row r="199" spans="1:5">
      <c r="A199" s="332"/>
      <c r="B199" s="524" t="s">
        <v>163</v>
      </c>
      <c r="C199" s="545" t="s">
        <v>349</v>
      </c>
      <c r="D199" s="546"/>
      <c r="E199" s="339">
        <v>1889.55</v>
      </c>
    </row>
    <row r="200" spans="1:5" ht="15" thickBot="1">
      <c r="A200" s="333"/>
      <c r="B200" s="349"/>
      <c r="C200" s="549" t="s">
        <v>337</v>
      </c>
      <c r="D200" s="551"/>
      <c r="E200" s="348">
        <v>2160</v>
      </c>
    </row>
    <row r="201" spans="1:5" ht="15" thickBot="1"/>
    <row r="202" spans="1:5">
      <c r="A202" s="322" t="s">
        <v>4</v>
      </c>
      <c r="B202" s="362" t="s">
        <v>3</v>
      </c>
      <c r="C202" s="324" t="s">
        <v>165</v>
      </c>
      <c r="D202" s="323" t="s">
        <v>166</v>
      </c>
      <c r="E202" s="325" t="s">
        <v>610</v>
      </c>
    </row>
    <row r="203" spans="1:5">
      <c r="A203" s="326" t="s">
        <v>171</v>
      </c>
      <c r="B203" s="363" t="s">
        <v>208</v>
      </c>
      <c r="C203" s="360" t="s">
        <v>547</v>
      </c>
      <c r="D203" s="38" t="s">
        <v>34</v>
      </c>
      <c r="E203" s="334">
        <f>E206</f>
        <v>1157.95</v>
      </c>
    </row>
    <row r="204" spans="1:5">
      <c r="A204" s="332"/>
      <c r="B204" s="524"/>
      <c r="C204" s="545" t="s">
        <v>167</v>
      </c>
      <c r="D204" s="546"/>
      <c r="E204" s="328" t="s">
        <v>164</v>
      </c>
    </row>
    <row r="205" spans="1:5">
      <c r="A205" s="332"/>
      <c r="B205" s="524" t="s">
        <v>163</v>
      </c>
      <c r="C205" s="545" t="s">
        <v>349</v>
      </c>
      <c r="D205" s="546"/>
      <c r="E205" s="339">
        <v>1159</v>
      </c>
    </row>
    <row r="206" spans="1:5" ht="15" thickBot="1">
      <c r="A206" s="333"/>
      <c r="B206" s="524"/>
      <c r="C206" s="549" t="s">
        <v>282</v>
      </c>
      <c r="D206" s="551"/>
      <c r="E206" s="348">
        <v>1157.95</v>
      </c>
    </row>
    <row r="207" spans="1:5" ht="15" thickBot="1"/>
    <row r="208" spans="1:5">
      <c r="A208" s="322" t="s">
        <v>4</v>
      </c>
      <c r="B208" s="362" t="s">
        <v>3</v>
      </c>
      <c r="C208" s="324" t="s">
        <v>165</v>
      </c>
      <c r="D208" s="323" t="s">
        <v>166</v>
      </c>
      <c r="E208" s="325" t="s">
        <v>610</v>
      </c>
    </row>
    <row r="209" spans="1:5">
      <c r="A209" s="326" t="s">
        <v>171</v>
      </c>
      <c r="B209" s="363" t="s">
        <v>209</v>
      </c>
      <c r="C209" s="43" t="s">
        <v>629</v>
      </c>
      <c r="D209" s="38" t="s">
        <v>13</v>
      </c>
      <c r="E209" s="334">
        <f>E211</f>
        <v>2760</v>
      </c>
    </row>
    <row r="210" spans="1:5">
      <c r="A210" s="332"/>
      <c r="B210" s="344" t="s">
        <v>163</v>
      </c>
      <c r="C210" s="547" t="s">
        <v>167</v>
      </c>
      <c r="D210" s="547"/>
      <c r="E210" s="328" t="s">
        <v>164</v>
      </c>
    </row>
    <row r="211" spans="1:5">
      <c r="A211" s="332"/>
      <c r="B211" s="344"/>
      <c r="C211" s="545" t="s">
        <v>633</v>
      </c>
      <c r="D211" s="546"/>
      <c r="E211" s="335">
        <v>2760</v>
      </c>
    </row>
    <row r="212" spans="1:5">
      <c r="A212" s="332"/>
      <c r="B212" s="367"/>
      <c r="C212" s="545" t="s">
        <v>631</v>
      </c>
      <c r="D212" s="562"/>
      <c r="E212" s="336">
        <v>3644.67</v>
      </c>
    </row>
    <row r="213" spans="1:5" ht="15" thickBot="1">
      <c r="A213" s="333"/>
      <c r="B213" s="364" t="s">
        <v>173</v>
      </c>
      <c r="C213" s="549" t="s">
        <v>630</v>
      </c>
      <c r="D213" s="550"/>
      <c r="E213" s="337">
        <v>3670</v>
      </c>
    </row>
    <row r="214" spans="1:5" ht="15" thickBot="1"/>
    <row r="215" spans="1:5">
      <c r="A215" s="322" t="s">
        <v>4</v>
      </c>
      <c r="B215" s="362" t="s">
        <v>3</v>
      </c>
      <c r="C215" s="324" t="s">
        <v>165</v>
      </c>
      <c r="D215" s="323" t="s">
        <v>166</v>
      </c>
      <c r="E215" s="325" t="s">
        <v>610</v>
      </c>
    </row>
    <row r="216" spans="1:5">
      <c r="A216" s="326" t="s">
        <v>171</v>
      </c>
      <c r="B216" s="363" t="s">
        <v>210</v>
      </c>
      <c r="C216" s="43" t="s">
        <v>634</v>
      </c>
      <c r="D216" s="38" t="s">
        <v>13</v>
      </c>
      <c r="E216" s="334">
        <f>E218</f>
        <v>706.41</v>
      </c>
    </row>
    <row r="217" spans="1:5">
      <c r="A217" s="332"/>
      <c r="B217" s="344" t="s">
        <v>163</v>
      </c>
      <c r="C217" s="547" t="s">
        <v>167</v>
      </c>
      <c r="D217" s="547"/>
      <c r="E217" s="328" t="s">
        <v>164</v>
      </c>
    </row>
    <row r="218" spans="1:5">
      <c r="A218" s="332"/>
      <c r="B218" s="344"/>
      <c r="C218" s="545" t="s">
        <v>633</v>
      </c>
      <c r="D218" s="546"/>
      <c r="E218" s="335">
        <v>706.41</v>
      </c>
    </row>
    <row r="219" spans="1:5">
      <c r="A219" s="332"/>
      <c r="B219" s="367"/>
      <c r="C219" s="545" t="s">
        <v>637</v>
      </c>
      <c r="D219" s="562"/>
      <c r="E219" s="336">
        <v>824.99</v>
      </c>
    </row>
    <row r="220" spans="1:5" ht="15" thickBot="1">
      <c r="A220" s="333"/>
      <c r="B220" s="364" t="s">
        <v>173</v>
      </c>
      <c r="C220" s="549" t="s">
        <v>630</v>
      </c>
      <c r="D220" s="550"/>
      <c r="E220" s="337">
        <v>785</v>
      </c>
    </row>
    <row r="221" spans="1:5" ht="15" thickBot="1"/>
    <row r="222" spans="1:5">
      <c r="A222" s="322" t="s">
        <v>4</v>
      </c>
      <c r="B222" s="362" t="s">
        <v>3</v>
      </c>
      <c r="C222" s="324" t="s">
        <v>165</v>
      </c>
      <c r="D222" s="323" t="s">
        <v>166</v>
      </c>
      <c r="E222" s="325" t="s">
        <v>610</v>
      </c>
    </row>
    <row r="223" spans="1:5">
      <c r="A223" s="326" t="s">
        <v>171</v>
      </c>
      <c r="B223" s="363" t="s">
        <v>211</v>
      </c>
      <c r="C223" s="43" t="s">
        <v>636</v>
      </c>
      <c r="D223" s="38" t="s">
        <v>13</v>
      </c>
      <c r="E223" s="334">
        <f>E225</f>
        <v>155</v>
      </c>
    </row>
    <row r="224" spans="1:5">
      <c r="A224" s="332"/>
      <c r="B224" s="344" t="s">
        <v>163</v>
      </c>
      <c r="C224" s="547" t="s">
        <v>167</v>
      </c>
      <c r="D224" s="547"/>
      <c r="E224" s="328" t="s">
        <v>164</v>
      </c>
    </row>
    <row r="225" spans="1:5" ht="15" thickBot="1">
      <c r="A225" s="333"/>
      <c r="B225" s="357"/>
      <c r="C225" s="549" t="s">
        <v>633</v>
      </c>
      <c r="D225" s="551"/>
      <c r="E225" s="348">
        <v>155</v>
      </c>
    </row>
    <row r="226" spans="1:5" ht="15" thickBot="1"/>
    <row r="227" spans="1:5">
      <c r="A227" s="322" t="s">
        <v>4</v>
      </c>
      <c r="B227" s="362" t="s">
        <v>3</v>
      </c>
      <c r="C227" s="324" t="s">
        <v>165</v>
      </c>
      <c r="D227" s="323" t="s">
        <v>166</v>
      </c>
      <c r="E227" s="325" t="s">
        <v>610</v>
      </c>
    </row>
    <row r="228" spans="1:5">
      <c r="A228" s="326" t="s">
        <v>171</v>
      </c>
      <c r="B228" s="363" t="s">
        <v>212</v>
      </c>
      <c r="C228" s="43" t="s">
        <v>640</v>
      </c>
      <c r="D228" s="38" t="s">
        <v>13</v>
      </c>
      <c r="E228" s="334">
        <f>E230</f>
        <v>10000</v>
      </c>
    </row>
    <row r="229" spans="1:5">
      <c r="A229" s="332"/>
      <c r="B229" s="344" t="s">
        <v>163</v>
      </c>
      <c r="C229" s="547" t="s">
        <v>167</v>
      </c>
      <c r="D229" s="547"/>
      <c r="E229" s="328" t="s">
        <v>164</v>
      </c>
    </row>
    <row r="230" spans="1:5" ht="15" thickBot="1">
      <c r="A230" s="333"/>
      <c r="B230" s="357"/>
      <c r="C230" s="549" t="s">
        <v>639</v>
      </c>
      <c r="D230" s="551"/>
      <c r="E230" s="348">
        <v>10000</v>
      </c>
    </row>
    <row r="231" spans="1:5" ht="15" thickBot="1"/>
    <row r="232" spans="1:5">
      <c r="A232" s="322" t="s">
        <v>4</v>
      </c>
      <c r="B232" s="362" t="s">
        <v>3</v>
      </c>
      <c r="C232" s="324" t="s">
        <v>165</v>
      </c>
      <c r="D232" s="323" t="s">
        <v>166</v>
      </c>
      <c r="E232" s="325" t="s">
        <v>610</v>
      </c>
    </row>
    <row r="233" spans="1:5">
      <c r="A233" s="326" t="s">
        <v>171</v>
      </c>
      <c r="B233" s="363" t="s">
        <v>213</v>
      </c>
      <c r="C233" s="43" t="s">
        <v>642</v>
      </c>
      <c r="D233" s="38" t="s">
        <v>13</v>
      </c>
      <c r="E233" s="334">
        <f>E236</f>
        <v>768.99</v>
      </c>
    </row>
    <row r="234" spans="1:5">
      <c r="A234" s="332"/>
      <c r="B234" s="344" t="s">
        <v>163</v>
      </c>
      <c r="C234" s="547" t="s">
        <v>167</v>
      </c>
      <c r="D234" s="547"/>
      <c r="E234" s="328" t="s">
        <v>164</v>
      </c>
    </row>
    <row r="235" spans="1:5">
      <c r="A235" s="332"/>
      <c r="B235" s="398"/>
      <c r="C235" s="545" t="s">
        <v>643</v>
      </c>
      <c r="D235" s="546"/>
      <c r="E235" s="336">
        <v>1049</v>
      </c>
    </row>
    <row r="236" spans="1:5" ht="15" thickBot="1">
      <c r="A236" s="333"/>
      <c r="B236" s="357"/>
      <c r="C236" s="549" t="s">
        <v>637</v>
      </c>
      <c r="D236" s="550"/>
      <c r="E236" s="348">
        <v>768.99</v>
      </c>
    </row>
    <row r="237" spans="1:5">
      <c r="A237" s="330"/>
      <c r="B237" s="527"/>
      <c r="C237" s="41"/>
      <c r="D237" s="41"/>
      <c r="E237" s="347"/>
    </row>
    <row r="238" spans="1:5" ht="15" thickBot="1"/>
    <row r="239" spans="1:5">
      <c r="A239" s="322" t="s">
        <v>4</v>
      </c>
      <c r="B239" s="362" t="s">
        <v>3</v>
      </c>
      <c r="C239" s="324" t="s">
        <v>165</v>
      </c>
      <c r="D239" s="323" t="s">
        <v>166</v>
      </c>
      <c r="E239" s="325" t="s">
        <v>610</v>
      </c>
    </row>
    <row r="240" spans="1:5">
      <c r="A240" s="326" t="s">
        <v>171</v>
      </c>
      <c r="B240" s="363" t="s">
        <v>215</v>
      </c>
      <c r="C240" s="43" t="s">
        <v>202</v>
      </c>
      <c r="D240" s="38" t="s">
        <v>15</v>
      </c>
      <c r="E240" s="334">
        <f>E242</f>
        <v>53.5</v>
      </c>
    </row>
    <row r="241" spans="1:5">
      <c r="A241" s="327"/>
      <c r="B241" s="344"/>
      <c r="C241" s="547" t="s">
        <v>167</v>
      </c>
      <c r="D241" s="547"/>
      <c r="E241" s="328" t="s">
        <v>164</v>
      </c>
    </row>
    <row r="242" spans="1:5">
      <c r="A242" s="327"/>
      <c r="B242" s="344"/>
      <c r="C242" s="545" t="s">
        <v>168</v>
      </c>
      <c r="D242" s="546"/>
      <c r="E242" s="339">
        <v>53.5</v>
      </c>
    </row>
    <row r="243" spans="1:5">
      <c r="A243" s="327"/>
      <c r="B243" s="344"/>
      <c r="C243" s="547" t="s">
        <v>556</v>
      </c>
      <c r="D243" s="547"/>
      <c r="E243" s="339">
        <v>57.27</v>
      </c>
    </row>
    <row r="244" spans="1:5" ht="15" thickBot="1">
      <c r="A244" s="329"/>
      <c r="B244" s="357" t="s">
        <v>358</v>
      </c>
      <c r="C244" s="565" t="s">
        <v>557</v>
      </c>
      <c r="D244" s="565"/>
      <c r="E244" s="340"/>
    </row>
    <row r="245" spans="1:5" ht="15" thickBot="1"/>
    <row r="246" spans="1:5">
      <c r="A246" s="322" t="s">
        <v>4</v>
      </c>
      <c r="B246" s="362" t="s">
        <v>3</v>
      </c>
      <c r="C246" s="324" t="s">
        <v>165</v>
      </c>
      <c r="D246" s="323" t="s">
        <v>166</v>
      </c>
      <c r="E246" s="325" t="s">
        <v>610</v>
      </c>
    </row>
    <row r="247" spans="1:5">
      <c r="A247" s="326" t="s">
        <v>171</v>
      </c>
      <c r="B247" s="363" t="s">
        <v>216</v>
      </c>
      <c r="C247" s="43" t="s">
        <v>196</v>
      </c>
      <c r="D247" s="38" t="s">
        <v>15</v>
      </c>
      <c r="E247" s="334">
        <f>E249</f>
        <v>29</v>
      </c>
    </row>
    <row r="248" spans="1:5">
      <c r="A248" s="327"/>
      <c r="B248" s="344"/>
      <c r="C248" s="547" t="s">
        <v>167</v>
      </c>
      <c r="D248" s="547"/>
      <c r="E248" s="328" t="s">
        <v>164</v>
      </c>
    </row>
    <row r="249" spans="1:5">
      <c r="A249" s="327"/>
      <c r="B249" s="344"/>
      <c r="C249" s="545" t="s">
        <v>168</v>
      </c>
      <c r="D249" s="546"/>
      <c r="E249" s="335">
        <v>29</v>
      </c>
    </row>
    <row r="250" spans="1:5">
      <c r="A250" s="327"/>
      <c r="B250" s="359"/>
      <c r="C250" s="545" t="s">
        <v>556</v>
      </c>
      <c r="D250" s="562"/>
      <c r="E250" s="336">
        <v>32.5</v>
      </c>
    </row>
    <row r="251" spans="1:5" ht="15" thickBot="1">
      <c r="A251" s="329"/>
      <c r="B251" s="357" t="s">
        <v>358</v>
      </c>
      <c r="C251" s="560" t="s">
        <v>561</v>
      </c>
      <c r="D251" s="561"/>
      <c r="E251" s="337"/>
    </row>
    <row r="252" spans="1:5" ht="15" thickBot="1"/>
    <row r="253" spans="1:5">
      <c r="A253" s="322" t="s">
        <v>4</v>
      </c>
      <c r="B253" s="362" t="s">
        <v>3</v>
      </c>
      <c r="C253" s="324" t="s">
        <v>165</v>
      </c>
      <c r="D253" s="323" t="s">
        <v>166</v>
      </c>
      <c r="E253" s="325" t="s">
        <v>610</v>
      </c>
    </row>
    <row r="254" spans="1:5" ht="31.2" customHeight="1">
      <c r="A254" s="326" t="s">
        <v>171</v>
      </c>
      <c r="B254" s="363" t="s">
        <v>217</v>
      </c>
      <c r="C254" s="373" t="s">
        <v>551</v>
      </c>
      <c r="D254" s="38" t="s">
        <v>34</v>
      </c>
      <c r="E254" s="334">
        <v>74.37</v>
      </c>
    </row>
    <row r="255" spans="1:5">
      <c r="A255" s="332"/>
      <c r="B255" s="344"/>
      <c r="C255" s="545" t="s">
        <v>167</v>
      </c>
      <c r="D255" s="546"/>
      <c r="E255" s="328" t="s">
        <v>164</v>
      </c>
    </row>
    <row r="256" spans="1:5" ht="15" thickBot="1">
      <c r="A256" s="333"/>
      <c r="B256" s="349"/>
      <c r="C256" s="549" t="s">
        <v>241</v>
      </c>
      <c r="D256" s="551"/>
      <c r="E256" s="348">
        <v>74.37</v>
      </c>
    </row>
    <row r="257" spans="1:5" ht="15" thickBot="1">
      <c r="B257" s="369"/>
      <c r="C257" s="320"/>
      <c r="D257" s="370"/>
      <c r="E257" s="372"/>
    </row>
    <row r="258" spans="1:5">
      <c r="A258" s="322" t="s">
        <v>4</v>
      </c>
      <c r="B258" s="362" t="s">
        <v>3</v>
      </c>
      <c r="C258" s="324" t="s">
        <v>165</v>
      </c>
      <c r="D258" s="323" t="s">
        <v>166</v>
      </c>
      <c r="E258" s="325" t="s">
        <v>610</v>
      </c>
    </row>
    <row r="259" spans="1:5">
      <c r="A259" s="326" t="s">
        <v>171</v>
      </c>
      <c r="B259" s="363" t="s">
        <v>218</v>
      </c>
      <c r="C259" s="43" t="s">
        <v>962</v>
      </c>
      <c r="D259" s="38" t="s">
        <v>13</v>
      </c>
      <c r="E259" s="334">
        <f>E261</f>
        <v>29.9</v>
      </c>
    </row>
    <row r="260" spans="1:5">
      <c r="A260" s="332"/>
      <c r="B260" s="344"/>
      <c r="C260" s="547" t="s">
        <v>167</v>
      </c>
      <c r="D260" s="547"/>
      <c r="E260" s="328" t="s">
        <v>164</v>
      </c>
    </row>
    <row r="261" spans="1:5" s="47" customFormat="1">
      <c r="A261" s="386"/>
      <c r="B261" s="470"/>
      <c r="C261" s="563" t="s">
        <v>253</v>
      </c>
      <c r="D261" s="564"/>
      <c r="E261" s="388">
        <v>29.9</v>
      </c>
    </row>
    <row r="262" spans="1:5" s="47" customFormat="1">
      <c r="A262" s="386"/>
      <c r="B262" s="470"/>
      <c r="C262" s="578" t="s">
        <v>352</v>
      </c>
      <c r="D262" s="578"/>
      <c r="E262" s="388">
        <v>33.25</v>
      </c>
    </row>
    <row r="263" spans="1:5" s="47" customFormat="1">
      <c r="A263" s="386"/>
      <c r="B263" s="470"/>
      <c r="C263" s="578" t="s">
        <v>351</v>
      </c>
      <c r="D263" s="578"/>
      <c r="E263" s="388">
        <v>40</v>
      </c>
    </row>
    <row r="264" spans="1:5" ht="15" thickBot="1">
      <c r="A264" s="333"/>
      <c r="B264" s="357"/>
      <c r="C264" s="549"/>
      <c r="D264" s="551"/>
      <c r="E264" s="348"/>
    </row>
    <row r="265" spans="1:5" ht="15" thickBot="1"/>
    <row r="266" spans="1:5" s="47" customFormat="1">
      <c r="A266" s="380" t="s">
        <v>4</v>
      </c>
      <c r="B266" s="362" t="s">
        <v>3</v>
      </c>
      <c r="C266" s="381" t="s">
        <v>165</v>
      </c>
      <c r="D266" s="382" t="s">
        <v>166</v>
      </c>
      <c r="E266" s="383" t="s">
        <v>610</v>
      </c>
    </row>
    <row r="267" spans="1:5" s="47" customFormat="1">
      <c r="A267" s="384" t="s">
        <v>171</v>
      </c>
      <c r="B267" s="363" t="s">
        <v>219</v>
      </c>
      <c r="C267" s="46" t="s">
        <v>266</v>
      </c>
      <c r="D267" s="48" t="s">
        <v>13</v>
      </c>
      <c r="E267" s="385">
        <f>E269</f>
        <v>4.5</v>
      </c>
    </row>
    <row r="268" spans="1:5" s="47" customFormat="1">
      <c r="A268" s="386"/>
      <c r="B268" s="344" t="s">
        <v>163</v>
      </c>
      <c r="C268" s="573" t="s">
        <v>167</v>
      </c>
      <c r="D268" s="573"/>
      <c r="E268" s="387" t="s">
        <v>164</v>
      </c>
    </row>
    <row r="269" spans="1:5" s="47" customFormat="1">
      <c r="A269" s="386"/>
      <c r="B269" s="344"/>
      <c r="C269" s="563" t="s">
        <v>253</v>
      </c>
      <c r="D269" s="564"/>
      <c r="E269" s="388">
        <v>4.5</v>
      </c>
    </row>
    <row r="270" spans="1:5" s="47" customFormat="1">
      <c r="A270" s="386"/>
      <c r="B270" s="344"/>
      <c r="C270" s="578" t="s">
        <v>352</v>
      </c>
      <c r="D270" s="578"/>
      <c r="E270" s="388">
        <v>5.2</v>
      </c>
    </row>
    <row r="271" spans="1:5" s="47" customFormat="1">
      <c r="A271" s="386"/>
      <c r="B271" s="344"/>
      <c r="C271" s="578" t="s">
        <v>351</v>
      </c>
      <c r="D271" s="578"/>
      <c r="E271" s="388">
        <v>5.5</v>
      </c>
    </row>
    <row r="272" spans="1:5" s="47" customFormat="1" ht="15" thickBot="1">
      <c r="A272" s="389"/>
      <c r="B272" s="364" t="s">
        <v>173</v>
      </c>
      <c r="C272" s="574"/>
      <c r="D272" s="575"/>
      <c r="E272" s="390"/>
    </row>
    <row r="273" spans="1:5" s="47" customFormat="1" ht="15" thickBot="1">
      <c r="B273" s="376"/>
      <c r="C273" s="377"/>
      <c r="D273" s="378"/>
      <c r="E273" s="379"/>
    </row>
    <row r="274" spans="1:5">
      <c r="A274" s="322" t="s">
        <v>4</v>
      </c>
      <c r="B274" s="362" t="s">
        <v>3</v>
      </c>
      <c r="C274" s="324" t="s">
        <v>165</v>
      </c>
      <c r="D274" s="323" t="s">
        <v>166</v>
      </c>
      <c r="E274" s="325" t="s">
        <v>610</v>
      </c>
    </row>
    <row r="275" spans="1:5">
      <c r="A275" s="326" t="s">
        <v>171</v>
      </c>
      <c r="B275" s="363" t="s">
        <v>220</v>
      </c>
      <c r="C275" s="43" t="s">
        <v>195</v>
      </c>
      <c r="D275" s="38" t="s">
        <v>15</v>
      </c>
      <c r="E275" s="334">
        <f>E278</f>
        <v>31.66</v>
      </c>
    </row>
    <row r="276" spans="1:5">
      <c r="A276" s="327"/>
      <c r="B276" s="344"/>
      <c r="C276" s="547" t="s">
        <v>167</v>
      </c>
      <c r="D276" s="547"/>
      <c r="E276" s="328" t="s">
        <v>164</v>
      </c>
    </row>
    <row r="277" spans="1:5">
      <c r="A277" s="327"/>
      <c r="B277" s="359"/>
      <c r="C277" s="545" t="s">
        <v>168</v>
      </c>
      <c r="D277" s="546"/>
      <c r="E277" s="335">
        <v>36.9</v>
      </c>
    </row>
    <row r="278" spans="1:5">
      <c r="A278" s="327"/>
      <c r="B278" s="359"/>
      <c r="C278" s="545" t="s">
        <v>556</v>
      </c>
      <c r="D278" s="562"/>
      <c r="E278" s="335">
        <v>31.66</v>
      </c>
    </row>
    <row r="279" spans="1:5" ht="15" thickBot="1">
      <c r="A279" s="329"/>
      <c r="B279" s="357" t="s">
        <v>358</v>
      </c>
      <c r="C279" s="560" t="s">
        <v>562</v>
      </c>
      <c r="D279" s="561"/>
      <c r="E279" s="337"/>
    </row>
    <row r="280" spans="1:5">
      <c r="A280" s="626"/>
      <c r="B280" s="527"/>
      <c r="C280" s="624"/>
      <c r="D280" s="624"/>
      <c r="E280" s="42"/>
    </row>
    <row r="281" spans="1:5">
      <c r="A281" s="626"/>
      <c r="B281" s="527"/>
      <c r="C281" s="624"/>
      <c r="D281" s="624"/>
      <c r="E281" s="42"/>
    </row>
    <row r="282" spans="1:5">
      <c r="A282" s="626"/>
      <c r="B282" s="527"/>
      <c r="C282" s="624"/>
      <c r="D282" s="624"/>
      <c r="E282" s="42"/>
    </row>
    <row r="283" spans="1:5">
      <c r="A283" s="626"/>
      <c r="B283" s="527"/>
      <c r="C283" s="624"/>
      <c r="D283" s="624"/>
      <c r="E283" s="42"/>
    </row>
    <row r="284" spans="1:5">
      <c r="A284" s="626"/>
      <c r="B284" s="527"/>
      <c r="C284" s="624"/>
      <c r="D284" s="624"/>
      <c r="E284" s="42"/>
    </row>
    <row r="285" spans="1:5" ht="15" thickBot="1"/>
    <row r="286" spans="1:5">
      <c r="A286" s="322" t="s">
        <v>4</v>
      </c>
      <c r="B286" s="362" t="s">
        <v>3</v>
      </c>
      <c r="C286" s="324" t="s">
        <v>165</v>
      </c>
      <c r="D286" s="323" t="s">
        <v>166</v>
      </c>
      <c r="E286" s="325" t="s">
        <v>610</v>
      </c>
    </row>
    <row r="287" spans="1:5">
      <c r="A287" s="326" t="s">
        <v>171</v>
      </c>
      <c r="B287" s="363" t="s">
        <v>221</v>
      </c>
      <c r="C287" s="43" t="s">
        <v>197</v>
      </c>
      <c r="D287" s="38" t="s">
        <v>15</v>
      </c>
      <c r="E287" s="334">
        <f>E290</f>
        <v>33.6</v>
      </c>
    </row>
    <row r="288" spans="1:5">
      <c r="A288" s="327"/>
      <c r="B288" s="344" t="s">
        <v>163</v>
      </c>
      <c r="C288" s="547" t="s">
        <v>167</v>
      </c>
      <c r="D288" s="547"/>
      <c r="E288" s="328" t="s">
        <v>164</v>
      </c>
    </row>
    <row r="289" spans="1:5">
      <c r="A289" s="327"/>
      <c r="B289" s="344"/>
      <c r="C289" s="545" t="s">
        <v>168</v>
      </c>
      <c r="D289" s="546"/>
      <c r="E289" s="335">
        <v>35.5</v>
      </c>
    </row>
    <row r="290" spans="1:5">
      <c r="A290" s="327"/>
      <c r="B290" s="359"/>
      <c r="C290" s="545" t="s">
        <v>556</v>
      </c>
      <c r="D290" s="562"/>
      <c r="E290" s="336">
        <v>33.6</v>
      </c>
    </row>
    <row r="291" spans="1:5" ht="15" thickBot="1">
      <c r="A291" s="329"/>
      <c r="B291" s="357" t="s">
        <v>358</v>
      </c>
      <c r="C291" s="560" t="s">
        <v>563</v>
      </c>
      <c r="D291" s="561"/>
      <c r="E291" s="337"/>
    </row>
    <row r="292" spans="1:5" ht="15" thickBot="1"/>
    <row r="293" spans="1:5">
      <c r="A293" s="322" t="s">
        <v>4</v>
      </c>
      <c r="B293" s="362" t="s">
        <v>3</v>
      </c>
      <c r="C293" s="324" t="s">
        <v>165</v>
      </c>
      <c r="D293" s="323" t="s">
        <v>166</v>
      </c>
      <c r="E293" s="325" t="s">
        <v>610</v>
      </c>
    </row>
    <row r="294" spans="1:5">
      <c r="A294" s="326" t="s">
        <v>171</v>
      </c>
      <c r="B294" s="363" t="s">
        <v>222</v>
      </c>
      <c r="C294" s="43" t="s">
        <v>195</v>
      </c>
      <c r="D294" s="38" t="s">
        <v>15</v>
      </c>
      <c r="E294" s="334">
        <f>E296</f>
        <v>37</v>
      </c>
    </row>
    <row r="295" spans="1:5">
      <c r="A295" s="327"/>
      <c r="B295" s="344" t="s">
        <v>163</v>
      </c>
      <c r="C295" s="547" t="s">
        <v>167</v>
      </c>
      <c r="D295" s="547"/>
      <c r="E295" s="328" t="s">
        <v>164</v>
      </c>
    </row>
    <row r="296" spans="1:5">
      <c r="A296" s="327"/>
      <c r="B296" s="344"/>
      <c r="C296" s="545" t="s">
        <v>168</v>
      </c>
      <c r="D296" s="546"/>
      <c r="E296" s="335">
        <v>37</v>
      </c>
    </row>
    <row r="297" spans="1:5">
      <c r="A297" s="327"/>
      <c r="B297" s="359"/>
      <c r="C297" s="545" t="s">
        <v>556</v>
      </c>
      <c r="D297" s="562"/>
      <c r="E297" s="336">
        <v>40.47</v>
      </c>
    </row>
    <row r="298" spans="1:5" ht="15" thickBot="1">
      <c r="A298" s="329"/>
      <c r="B298" s="357" t="s">
        <v>358</v>
      </c>
      <c r="C298" s="560" t="s">
        <v>564</v>
      </c>
      <c r="D298" s="561"/>
      <c r="E298" s="337"/>
    </row>
    <row r="299" spans="1:5" ht="15" thickBot="1"/>
    <row r="300" spans="1:5">
      <c r="A300" s="322" t="s">
        <v>4</v>
      </c>
      <c r="B300" s="362" t="s">
        <v>3</v>
      </c>
      <c r="C300" s="324" t="s">
        <v>165</v>
      </c>
      <c r="D300" s="323" t="s">
        <v>166</v>
      </c>
      <c r="E300" s="325" t="s">
        <v>610</v>
      </c>
    </row>
    <row r="301" spans="1:5">
      <c r="A301" s="326" t="s">
        <v>171</v>
      </c>
      <c r="B301" s="363" t="s">
        <v>223</v>
      </c>
      <c r="C301" s="43" t="s">
        <v>250</v>
      </c>
      <c r="D301" s="38" t="s">
        <v>15</v>
      </c>
      <c r="E301" s="334">
        <f>E303</f>
        <v>44.5</v>
      </c>
    </row>
    <row r="302" spans="1:5">
      <c r="A302" s="327"/>
      <c r="B302" s="344"/>
      <c r="C302" s="547" t="s">
        <v>167</v>
      </c>
      <c r="D302" s="547"/>
      <c r="E302" s="328" t="s">
        <v>164</v>
      </c>
    </row>
    <row r="303" spans="1:5">
      <c r="A303" s="327"/>
      <c r="B303" s="344"/>
      <c r="C303" s="545" t="s">
        <v>169</v>
      </c>
      <c r="D303" s="546"/>
      <c r="E303" s="335">
        <v>44.5</v>
      </c>
    </row>
    <row r="304" spans="1:5">
      <c r="A304" s="327"/>
      <c r="B304" s="359"/>
      <c r="C304" s="545" t="s">
        <v>348</v>
      </c>
      <c r="D304" s="562"/>
      <c r="E304" s="336">
        <v>48.9</v>
      </c>
    </row>
    <row r="305" spans="1:5" ht="15" thickBot="1">
      <c r="A305" s="329"/>
      <c r="B305" s="357" t="s">
        <v>358</v>
      </c>
      <c r="C305" s="560" t="s">
        <v>559</v>
      </c>
      <c r="D305" s="561"/>
      <c r="E305" s="337"/>
    </row>
    <row r="306" spans="1:5" ht="15" thickBot="1"/>
    <row r="307" spans="1:5">
      <c r="A307" s="322" t="s">
        <v>4</v>
      </c>
      <c r="B307" s="362" t="s">
        <v>3</v>
      </c>
      <c r="C307" s="324" t="s">
        <v>165</v>
      </c>
      <c r="D307" s="323" t="s">
        <v>166</v>
      </c>
      <c r="E307" s="325" t="s">
        <v>610</v>
      </c>
    </row>
    <row r="308" spans="1:5">
      <c r="A308" s="326" t="s">
        <v>171</v>
      </c>
      <c r="B308" s="363" t="s">
        <v>224</v>
      </c>
      <c r="C308" s="43" t="s">
        <v>969</v>
      </c>
      <c r="D308" s="38" t="s">
        <v>15</v>
      </c>
      <c r="E308" s="334">
        <v>70</v>
      </c>
    </row>
    <row r="309" spans="1:5">
      <c r="A309" s="332"/>
      <c r="B309" s="344"/>
      <c r="C309" s="547" t="s">
        <v>167</v>
      </c>
      <c r="D309" s="547"/>
      <c r="E309" s="328" t="s">
        <v>164</v>
      </c>
    </row>
    <row r="310" spans="1:5" ht="15" thickBot="1">
      <c r="A310" s="333"/>
      <c r="B310" s="357"/>
      <c r="C310" s="549" t="s">
        <v>241</v>
      </c>
      <c r="D310" s="551"/>
      <c r="E310" s="348">
        <v>70</v>
      </c>
    </row>
    <row r="311" spans="1:5" ht="15" thickBot="1">
      <c r="B311" s="374"/>
      <c r="C311" s="183"/>
      <c r="D311" s="183"/>
      <c r="E311" s="372"/>
    </row>
    <row r="312" spans="1:5">
      <c r="A312" s="322" t="s">
        <v>4</v>
      </c>
      <c r="B312" s="362" t="s">
        <v>3</v>
      </c>
      <c r="C312" s="324" t="s">
        <v>165</v>
      </c>
      <c r="D312" s="323" t="s">
        <v>166</v>
      </c>
      <c r="E312" s="325" t="s">
        <v>610</v>
      </c>
    </row>
    <row r="313" spans="1:5">
      <c r="A313" s="326" t="s">
        <v>171</v>
      </c>
      <c r="B313" s="363" t="s">
        <v>225</v>
      </c>
      <c r="C313" s="43" t="s">
        <v>274</v>
      </c>
      <c r="D313" s="38" t="s">
        <v>34</v>
      </c>
      <c r="E313" s="334">
        <f>E315</f>
        <v>347</v>
      </c>
    </row>
    <row r="314" spans="1:5">
      <c r="A314" s="332"/>
      <c r="B314" s="344" t="s">
        <v>163</v>
      </c>
      <c r="C314" s="548" t="s">
        <v>167</v>
      </c>
      <c r="D314" s="548"/>
      <c r="E314" s="328" t="s">
        <v>164</v>
      </c>
    </row>
    <row r="315" spans="1:5">
      <c r="A315" s="332"/>
      <c r="B315" s="344"/>
      <c r="C315" s="545" t="s">
        <v>268</v>
      </c>
      <c r="D315" s="546"/>
      <c r="E315" s="339">
        <f>125+132+90</f>
        <v>347</v>
      </c>
    </row>
    <row r="316" spans="1:5" ht="15" thickBot="1">
      <c r="A316" s="333"/>
      <c r="B316" s="357"/>
      <c r="C316" s="549" t="s">
        <v>267</v>
      </c>
      <c r="D316" s="551"/>
      <c r="E316" s="375">
        <f>453+90</f>
        <v>543</v>
      </c>
    </row>
    <row r="317" spans="1:5" ht="15" thickBot="1"/>
    <row r="318" spans="1:5">
      <c r="A318" s="322" t="s">
        <v>4</v>
      </c>
      <c r="B318" s="362" t="s">
        <v>3</v>
      </c>
      <c r="C318" s="324" t="s">
        <v>165</v>
      </c>
      <c r="D318" s="323" t="s">
        <v>166</v>
      </c>
      <c r="E318" s="325" t="s">
        <v>610</v>
      </c>
    </row>
    <row r="319" spans="1:5">
      <c r="A319" s="326" t="s">
        <v>171</v>
      </c>
      <c r="B319" s="363" t="s">
        <v>226</v>
      </c>
      <c r="C319" s="43" t="s">
        <v>276</v>
      </c>
      <c r="D319" s="38" t="s">
        <v>34</v>
      </c>
      <c r="E319" s="334">
        <f>E321</f>
        <v>612</v>
      </c>
    </row>
    <row r="320" spans="1:5">
      <c r="A320" s="332"/>
      <c r="B320" s="344" t="s">
        <v>163</v>
      </c>
      <c r="C320" s="548" t="s">
        <v>167</v>
      </c>
      <c r="D320" s="548"/>
      <c r="E320" s="328" t="s">
        <v>164</v>
      </c>
    </row>
    <row r="321" spans="1:5">
      <c r="A321" s="332"/>
      <c r="B321" s="344"/>
      <c r="C321" s="545" t="s">
        <v>268</v>
      </c>
      <c r="D321" s="546"/>
      <c r="E321" s="339">
        <f>350+172+90</f>
        <v>612</v>
      </c>
    </row>
    <row r="322" spans="1:5" ht="15" thickBot="1">
      <c r="A322" s="333"/>
      <c r="B322" s="357"/>
      <c r="C322" s="549" t="s">
        <v>267</v>
      </c>
      <c r="D322" s="551"/>
      <c r="E322" s="375">
        <f>535+90</f>
        <v>625</v>
      </c>
    </row>
    <row r="323" spans="1:5" ht="15" thickBot="1"/>
    <row r="324" spans="1:5">
      <c r="A324" s="322" t="s">
        <v>4</v>
      </c>
      <c r="B324" s="362" t="s">
        <v>3</v>
      </c>
      <c r="C324" s="324" t="s">
        <v>165</v>
      </c>
      <c r="D324" s="323" t="s">
        <v>166</v>
      </c>
      <c r="E324" s="325" t="s">
        <v>610</v>
      </c>
    </row>
    <row r="325" spans="1:5">
      <c r="A325" s="326" t="s">
        <v>171</v>
      </c>
      <c r="B325" s="363" t="s">
        <v>227</v>
      </c>
      <c r="C325" s="43" t="s">
        <v>1006</v>
      </c>
      <c r="D325" s="38" t="s">
        <v>34</v>
      </c>
      <c r="E325" s="334">
        <f>E327</f>
        <v>1200</v>
      </c>
    </row>
    <row r="326" spans="1:5">
      <c r="A326" s="332"/>
      <c r="B326" s="344" t="s">
        <v>163</v>
      </c>
      <c r="C326" s="547" t="s">
        <v>167</v>
      </c>
      <c r="D326" s="547"/>
      <c r="E326" s="328" t="s">
        <v>164</v>
      </c>
    </row>
    <row r="327" spans="1:5">
      <c r="A327" s="332"/>
      <c r="B327" s="344"/>
      <c r="C327" s="545" t="s">
        <v>330</v>
      </c>
      <c r="D327" s="546"/>
      <c r="E327" s="335">
        <v>1200</v>
      </c>
    </row>
    <row r="328" spans="1:5" ht="15" thickBot="1">
      <c r="A328" s="333"/>
      <c r="B328" s="364"/>
      <c r="C328" s="549" t="s">
        <v>609</v>
      </c>
      <c r="D328" s="550"/>
      <c r="E328" s="337">
        <v>1540</v>
      </c>
    </row>
    <row r="329" spans="1:5">
      <c r="A329" s="330"/>
      <c r="B329" s="527"/>
      <c r="C329" s="41"/>
      <c r="D329" s="41"/>
      <c r="E329" s="42"/>
    </row>
    <row r="330" spans="1:5">
      <c r="A330" s="330"/>
      <c r="B330" s="527"/>
      <c r="C330" s="41"/>
      <c r="D330" s="41"/>
      <c r="E330" s="42"/>
    </row>
    <row r="331" spans="1:5">
      <c r="A331" s="330"/>
      <c r="B331" s="527"/>
      <c r="C331" s="41"/>
      <c r="D331" s="41"/>
      <c r="E331" s="42"/>
    </row>
    <row r="332" spans="1:5">
      <c r="A332" s="330"/>
      <c r="B332" s="527"/>
      <c r="C332" s="41"/>
      <c r="D332" s="41"/>
      <c r="E332" s="42"/>
    </row>
    <row r="333" spans="1:5" ht="15" thickBot="1"/>
    <row r="334" spans="1:5">
      <c r="A334" s="322" t="s">
        <v>4</v>
      </c>
      <c r="B334" s="362" t="s">
        <v>3</v>
      </c>
      <c r="C334" s="324" t="s">
        <v>165</v>
      </c>
      <c r="D334" s="323" t="s">
        <v>166</v>
      </c>
      <c r="E334" s="325" t="s">
        <v>610</v>
      </c>
    </row>
    <row r="335" spans="1:5">
      <c r="A335" s="326" t="s">
        <v>171</v>
      </c>
      <c r="B335" s="363" t="s">
        <v>230</v>
      </c>
      <c r="C335" s="43" t="s">
        <v>972</v>
      </c>
      <c r="D335" s="38" t="s">
        <v>34</v>
      </c>
      <c r="E335" s="334">
        <f>E337</f>
        <v>1650</v>
      </c>
    </row>
    <row r="336" spans="1:5">
      <c r="A336" s="332"/>
      <c r="B336" s="344" t="s">
        <v>163</v>
      </c>
      <c r="C336" s="547" t="s">
        <v>167</v>
      </c>
      <c r="D336" s="547"/>
      <c r="E336" s="328" t="s">
        <v>164</v>
      </c>
    </row>
    <row r="337" spans="1:5" ht="15" thickBot="1">
      <c r="A337" s="332"/>
      <c r="B337" s="344"/>
      <c r="C337" s="549" t="s">
        <v>267</v>
      </c>
      <c r="D337" s="551"/>
      <c r="E337" s="335">
        <v>1650</v>
      </c>
    </row>
    <row r="338" spans="1:5" ht="15" thickBot="1">
      <c r="A338" s="333"/>
      <c r="B338" s="364"/>
      <c r="C338" s="549" t="s">
        <v>616</v>
      </c>
      <c r="D338" s="550"/>
      <c r="E338" s="337">
        <v>2395</v>
      </c>
    </row>
    <row r="339" spans="1:5" ht="15" thickBot="1">
      <c r="B339" s="374"/>
      <c r="C339" s="183"/>
      <c r="D339" s="183"/>
      <c r="E339" s="372"/>
    </row>
    <row r="340" spans="1:5">
      <c r="A340" s="322" t="s">
        <v>4</v>
      </c>
      <c r="B340" s="362" t="s">
        <v>3</v>
      </c>
      <c r="C340" s="324" t="s">
        <v>165</v>
      </c>
      <c r="D340" s="323" t="s">
        <v>166</v>
      </c>
      <c r="E340" s="325" t="s">
        <v>610</v>
      </c>
    </row>
    <row r="341" spans="1:5">
      <c r="A341" s="326" t="s">
        <v>171</v>
      </c>
      <c r="B341" s="363" t="s">
        <v>234</v>
      </c>
      <c r="C341" s="43" t="s">
        <v>275</v>
      </c>
      <c r="D341" s="38" t="s">
        <v>34</v>
      </c>
      <c r="E341" s="334">
        <f>E344</f>
        <v>485</v>
      </c>
    </row>
    <row r="342" spans="1:5">
      <c r="A342" s="332"/>
      <c r="B342" s="344" t="s">
        <v>163</v>
      </c>
      <c r="C342" s="548" t="s">
        <v>167</v>
      </c>
      <c r="D342" s="548"/>
      <c r="E342" s="328" t="s">
        <v>164</v>
      </c>
    </row>
    <row r="343" spans="1:5">
      <c r="A343" s="332"/>
      <c r="B343" s="344"/>
      <c r="C343" s="547" t="s">
        <v>267</v>
      </c>
      <c r="D343" s="547"/>
      <c r="E343" s="391">
        <f>803+90</f>
        <v>893</v>
      </c>
    </row>
    <row r="344" spans="1:5" ht="15" thickBot="1">
      <c r="A344" s="333"/>
      <c r="B344" s="357"/>
      <c r="C344" s="554" t="s">
        <v>268</v>
      </c>
      <c r="D344" s="555"/>
      <c r="E344" s="348">
        <f>130+265+90</f>
        <v>485</v>
      </c>
    </row>
    <row r="345" spans="1:5" ht="15" thickBot="1"/>
    <row r="346" spans="1:5">
      <c r="A346" s="322" t="s">
        <v>4</v>
      </c>
      <c r="B346" s="362" t="s">
        <v>3</v>
      </c>
      <c r="C346" s="324" t="s">
        <v>165</v>
      </c>
      <c r="D346" s="323" t="s">
        <v>166</v>
      </c>
      <c r="E346" s="325" t="s">
        <v>610</v>
      </c>
    </row>
    <row r="347" spans="1:5">
      <c r="A347" s="326" t="s">
        <v>171</v>
      </c>
      <c r="B347" s="363" t="s">
        <v>236</v>
      </c>
      <c r="C347" s="43" t="s">
        <v>345</v>
      </c>
      <c r="D347" s="38" t="s">
        <v>34</v>
      </c>
      <c r="E347" s="334">
        <f>E349</f>
        <v>45.99</v>
      </c>
    </row>
    <row r="348" spans="1:5">
      <c r="A348" s="332"/>
      <c r="B348" s="344" t="s">
        <v>163</v>
      </c>
      <c r="C348" s="547" t="s">
        <v>167</v>
      </c>
      <c r="D348" s="547"/>
      <c r="E348" s="328" t="s">
        <v>164</v>
      </c>
    </row>
    <row r="349" spans="1:5">
      <c r="A349" s="332"/>
      <c r="B349" s="344"/>
      <c r="C349" s="547" t="s">
        <v>343</v>
      </c>
      <c r="D349" s="547"/>
      <c r="E349" s="339">
        <v>45.99</v>
      </c>
    </row>
    <row r="350" spans="1:5">
      <c r="A350" s="332"/>
      <c r="B350" s="344"/>
      <c r="C350" s="547" t="s">
        <v>346</v>
      </c>
      <c r="D350" s="547"/>
      <c r="E350" s="339">
        <v>45.99</v>
      </c>
    </row>
    <row r="351" spans="1:5" ht="15" thickBot="1">
      <c r="A351" s="333"/>
      <c r="B351" s="357"/>
      <c r="C351" s="556" t="s">
        <v>347</v>
      </c>
      <c r="D351" s="556"/>
      <c r="E351" s="348">
        <v>49.9</v>
      </c>
    </row>
    <row r="352" spans="1:5" ht="15" thickBot="1"/>
    <row r="353" spans="1:5">
      <c r="A353" s="322" t="s">
        <v>4</v>
      </c>
      <c r="B353" s="362" t="s">
        <v>3</v>
      </c>
      <c r="C353" s="324" t="s">
        <v>165</v>
      </c>
      <c r="D353" s="323" t="s">
        <v>166</v>
      </c>
      <c r="E353" s="325" t="s">
        <v>610</v>
      </c>
    </row>
    <row r="354" spans="1:5">
      <c r="A354" s="326" t="s">
        <v>171</v>
      </c>
      <c r="B354" s="363" t="s">
        <v>237</v>
      </c>
      <c r="C354" s="43" t="s">
        <v>341</v>
      </c>
      <c r="D354" s="38" t="s">
        <v>34</v>
      </c>
      <c r="E354" s="334">
        <f>E356</f>
        <v>36</v>
      </c>
    </row>
    <row r="355" spans="1:5">
      <c r="A355" s="332"/>
      <c r="B355" s="344" t="s">
        <v>163</v>
      </c>
      <c r="C355" s="547" t="s">
        <v>167</v>
      </c>
      <c r="D355" s="547"/>
      <c r="E355" s="328" t="s">
        <v>164</v>
      </c>
    </row>
    <row r="356" spans="1:5">
      <c r="A356" s="332"/>
      <c r="B356" s="344"/>
      <c r="C356" s="576" t="s">
        <v>342</v>
      </c>
      <c r="D356" s="547"/>
      <c r="E356" s="339">
        <v>36</v>
      </c>
    </row>
    <row r="357" spans="1:5">
      <c r="A357" s="332"/>
      <c r="B357" s="344"/>
      <c r="C357" s="576" t="s">
        <v>343</v>
      </c>
      <c r="D357" s="547"/>
      <c r="E357" s="339">
        <v>37.9</v>
      </c>
    </row>
    <row r="358" spans="1:5" ht="15" thickBot="1">
      <c r="A358" s="333"/>
      <c r="B358" s="357"/>
      <c r="C358" s="577" t="s">
        <v>344</v>
      </c>
      <c r="D358" s="556"/>
      <c r="E358" s="348">
        <v>39.9</v>
      </c>
    </row>
    <row r="359" spans="1:5" ht="15" thickBot="1"/>
    <row r="360" spans="1:5" s="321" customFormat="1">
      <c r="A360" s="322" t="s">
        <v>4</v>
      </c>
      <c r="B360" s="362" t="s">
        <v>3</v>
      </c>
      <c r="C360" s="395" t="s">
        <v>165</v>
      </c>
      <c r="D360" s="362" t="s">
        <v>166</v>
      </c>
      <c r="E360" s="396" t="s">
        <v>610</v>
      </c>
    </row>
    <row r="361" spans="1:5" s="321" customFormat="1">
      <c r="A361" s="326" t="s">
        <v>171</v>
      </c>
      <c r="B361" s="363" t="s">
        <v>238</v>
      </c>
      <c r="C361" s="393" t="s">
        <v>279</v>
      </c>
      <c r="D361" s="363" t="s">
        <v>34</v>
      </c>
      <c r="E361" s="394">
        <f>E363</f>
        <v>14.53</v>
      </c>
    </row>
    <row r="362" spans="1:5" s="321" customFormat="1">
      <c r="A362" s="354"/>
      <c r="B362" s="344" t="s">
        <v>163</v>
      </c>
      <c r="C362" s="558" t="s">
        <v>167</v>
      </c>
      <c r="D362" s="558"/>
      <c r="E362" s="392" t="s">
        <v>164</v>
      </c>
    </row>
    <row r="363" spans="1:5" s="321" customFormat="1">
      <c r="A363" s="354"/>
      <c r="B363" s="344"/>
      <c r="C363" s="558" t="s">
        <v>339</v>
      </c>
      <c r="D363" s="558"/>
      <c r="E363" s="355">
        <v>14.53</v>
      </c>
    </row>
    <row r="364" spans="1:5" s="321" customFormat="1" ht="15" thickBot="1">
      <c r="A364" s="356"/>
      <c r="B364" s="357"/>
      <c r="C364" s="552" t="s">
        <v>267</v>
      </c>
      <c r="D364" s="553"/>
      <c r="E364" s="358">
        <v>15</v>
      </c>
    </row>
    <row r="365" spans="1:5" ht="15" thickBot="1"/>
    <row r="366" spans="1:5" s="321" customFormat="1">
      <c r="A366" s="322" t="s">
        <v>4</v>
      </c>
      <c r="B366" s="362" t="s">
        <v>3</v>
      </c>
      <c r="C366" s="395" t="s">
        <v>165</v>
      </c>
      <c r="D366" s="362" t="s">
        <v>166</v>
      </c>
      <c r="E366" s="396" t="s">
        <v>610</v>
      </c>
    </row>
    <row r="367" spans="1:5" s="321" customFormat="1">
      <c r="A367" s="326" t="s">
        <v>171</v>
      </c>
      <c r="B367" s="363" t="s">
        <v>239</v>
      </c>
      <c r="C367" s="393" t="s">
        <v>338</v>
      </c>
      <c r="D367" s="363" t="s">
        <v>34</v>
      </c>
      <c r="E367" s="394">
        <f>E369</f>
        <v>10.199999999999999</v>
      </c>
    </row>
    <row r="368" spans="1:5" s="321" customFormat="1">
      <c r="A368" s="354"/>
      <c r="B368" s="344" t="s">
        <v>163</v>
      </c>
      <c r="C368" s="558" t="s">
        <v>167</v>
      </c>
      <c r="D368" s="558"/>
      <c r="E368" s="392" t="s">
        <v>164</v>
      </c>
    </row>
    <row r="369" spans="1:5" s="321" customFormat="1">
      <c r="A369" s="354"/>
      <c r="B369" s="344"/>
      <c r="C369" s="558" t="s">
        <v>339</v>
      </c>
      <c r="D369" s="558"/>
      <c r="E369" s="355">
        <v>10.199999999999999</v>
      </c>
    </row>
    <row r="370" spans="1:5" s="321" customFormat="1" ht="15" thickBot="1">
      <c r="A370" s="354"/>
      <c r="B370" s="344"/>
      <c r="C370" s="552" t="s">
        <v>267</v>
      </c>
      <c r="D370" s="553"/>
      <c r="E370" s="355">
        <v>22</v>
      </c>
    </row>
    <row r="371" spans="1:5" s="321" customFormat="1" ht="15" thickBot="1">
      <c r="A371" s="356"/>
      <c r="B371" s="357"/>
      <c r="C371" s="557" t="s">
        <v>340</v>
      </c>
      <c r="D371" s="557"/>
      <c r="E371" s="358">
        <v>12.99</v>
      </c>
    </row>
    <row r="372" spans="1:5" ht="15" thickBot="1"/>
    <row r="373" spans="1:5">
      <c r="A373" s="322" t="s">
        <v>4</v>
      </c>
      <c r="B373" s="362" t="s">
        <v>3</v>
      </c>
      <c r="C373" s="324" t="s">
        <v>165</v>
      </c>
      <c r="D373" s="323" t="s">
        <v>166</v>
      </c>
      <c r="E373" s="325" t="s">
        <v>610</v>
      </c>
    </row>
    <row r="374" spans="1:5">
      <c r="A374" s="326" t="s">
        <v>171</v>
      </c>
      <c r="B374" s="363" t="s">
        <v>240</v>
      </c>
      <c r="C374" s="43" t="s">
        <v>979</v>
      </c>
      <c r="D374" s="38" t="s">
        <v>34</v>
      </c>
      <c r="E374" s="334">
        <f>E376</f>
        <v>381.16</v>
      </c>
    </row>
    <row r="375" spans="1:5">
      <c r="A375" s="332"/>
      <c r="B375" s="344" t="s">
        <v>163</v>
      </c>
      <c r="C375" s="547" t="s">
        <v>167</v>
      </c>
      <c r="D375" s="547"/>
      <c r="E375" s="328" t="s">
        <v>164</v>
      </c>
    </row>
    <row r="376" spans="1:5">
      <c r="A376" s="332"/>
      <c r="B376" s="344"/>
      <c r="C376" s="545" t="s">
        <v>330</v>
      </c>
      <c r="D376" s="546"/>
      <c r="E376" s="335">
        <v>381.16</v>
      </c>
    </row>
    <row r="377" spans="1:5" ht="15" thickBot="1">
      <c r="A377" s="333"/>
      <c r="B377" s="364" t="s">
        <v>173</v>
      </c>
      <c r="C377" s="549" t="s">
        <v>609</v>
      </c>
      <c r="D377" s="550"/>
      <c r="E377" s="337">
        <v>569.66</v>
      </c>
    </row>
    <row r="378" spans="1:5">
      <c r="A378" s="330"/>
      <c r="B378" s="527"/>
      <c r="C378" s="41"/>
      <c r="D378" s="41"/>
      <c r="E378" s="42"/>
    </row>
    <row r="379" spans="1:5">
      <c r="A379" s="330"/>
      <c r="B379" s="527"/>
      <c r="C379" s="41"/>
      <c r="D379" s="41"/>
      <c r="E379" s="42"/>
    </row>
    <row r="380" spans="1:5">
      <c r="A380" s="330"/>
      <c r="B380" s="527"/>
      <c r="C380" s="41"/>
      <c r="D380" s="41"/>
      <c r="E380" s="42"/>
    </row>
    <row r="381" spans="1:5" ht="15" thickBot="1"/>
    <row r="382" spans="1:5">
      <c r="A382" s="322" t="s">
        <v>4</v>
      </c>
      <c r="B382" s="362" t="s">
        <v>3</v>
      </c>
      <c r="C382" s="324" t="s">
        <v>165</v>
      </c>
      <c r="D382" s="323" t="s">
        <v>166</v>
      </c>
      <c r="E382" s="325" t="s">
        <v>610</v>
      </c>
    </row>
    <row r="383" spans="1:5">
      <c r="A383" s="326" t="s">
        <v>171</v>
      </c>
      <c r="B383" s="363" t="s">
        <v>242</v>
      </c>
      <c r="C383" s="43" t="s">
        <v>607</v>
      </c>
      <c r="D383" s="38" t="s">
        <v>34</v>
      </c>
      <c r="E383" s="334">
        <f>E385</f>
        <v>519.54999999999995</v>
      </c>
    </row>
    <row r="384" spans="1:5">
      <c r="A384" s="332"/>
      <c r="B384" s="344" t="s">
        <v>163</v>
      </c>
      <c r="C384" s="547" t="s">
        <v>167</v>
      </c>
      <c r="D384" s="547"/>
      <c r="E384" s="328" t="s">
        <v>164</v>
      </c>
    </row>
    <row r="385" spans="1:5">
      <c r="A385" s="332"/>
      <c r="B385" s="344"/>
      <c r="C385" s="545" t="s">
        <v>330</v>
      </c>
      <c r="D385" s="546"/>
      <c r="E385" s="335">
        <v>519.54999999999995</v>
      </c>
    </row>
    <row r="386" spans="1:5" ht="15" thickBot="1">
      <c r="A386" s="333"/>
      <c r="B386" s="364" t="s">
        <v>173</v>
      </c>
      <c r="C386" s="549" t="s">
        <v>609</v>
      </c>
      <c r="D386" s="550"/>
      <c r="E386" s="337">
        <v>880.14</v>
      </c>
    </row>
    <row r="387" spans="1:5" ht="15" thickBot="1"/>
    <row r="388" spans="1:5">
      <c r="A388" s="322" t="s">
        <v>4</v>
      </c>
      <c r="B388" s="362" t="s">
        <v>3</v>
      </c>
      <c r="C388" s="395" t="s">
        <v>165</v>
      </c>
      <c r="D388" s="362" t="s">
        <v>166</v>
      </c>
      <c r="E388" s="396" t="s">
        <v>610</v>
      </c>
    </row>
    <row r="389" spans="1:5">
      <c r="A389" s="326" t="s">
        <v>171</v>
      </c>
      <c r="B389" s="363" t="s">
        <v>243</v>
      </c>
      <c r="C389" s="393" t="s">
        <v>980</v>
      </c>
      <c r="D389" s="363" t="s">
        <v>34</v>
      </c>
      <c r="E389" s="394">
        <f>E391</f>
        <v>725.65</v>
      </c>
    </row>
    <row r="390" spans="1:5">
      <c r="A390" s="354"/>
      <c r="B390" s="344" t="s">
        <v>163</v>
      </c>
      <c r="C390" s="558" t="s">
        <v>167</v>
      </c>
      <c r="D390" s="558"/>
      <c r="E390" s="392" t="s">
        <v>164</v>
      </c>
    </row>
    <row r="391" spans="1:5">
      <c r="A391" s="354"/>
      <c r="B391" s="344"/>
      <c r="C391" s="545" t="s">
        <v>330</v>
      </c>
      <c r="D391" s="546"/>
      <c r="E391" s="397">
        <v>725.65</v>
      </c>
    </row>
    <row r="392" spans="1:5" ht="15" thickBot="1">
      <c r="A392" s="356"/>
      <c r="B392" s="364" t="s">
        <v>173</v>
      </c>
      <c r="C392" s="549" t="s">
        <v>609</v>
      </c>
      <c r="D392" s="550"/>
      <c r="E392" s="337">
        <v>986.6</v>
      </c>
    </row>
    <row r="393" spans="1:5" ht="15" thickBot="1"/>
    <row r="394" spans="1:5">
      <c r="A394" s="322" t="s">
        <v>4</v>
      </c>
      <c r="B394" s="362" t="s">
        <v>3</v>
      </c>
      <c r="C394" s="324" t="s">
        <v>165</v>
      </c>
      <c r="D394" s="323" t="s">
        <v>166</v>
      </c>
      <c r="E394" s="325" t="s">
        <v>610</v>
      </c>
    </row>
    <row r="395" spans="1:5">
      <c r="A395" s="326" t="s">
        <v>171</v>
      </c>
      <c r="B395" s="363" t="s">
        <v>244</v>
      </c>
      <c r="C395" s="43" t="s">
        <v>608</v>
      </c>
      <c r="D395" s="38" t="s">
        <v>34</v>
      </c>
      <c r="E395" s="334">
        <f>E397</f>
        <v>800.47</v>
      </c>
    </row>
    <row r="396" spans="1:5">
      <c r="A396" s="332"/>
      <c r="B396" s="344" t="s">
        <v>163</v>
      </c>
      <c r="C396" s="547" t="s">
        <v>167</v>
      </c>
      <c r="D396" s="547"/>
      <c r="E396" s="328" t="s">
        <v>164</v>
      </c>
    </row>
    <row r="397" spans="1:5">
      <c r="A397" s="332"/>
      <c r="B397" s="344"/>
      <c r="C397" s="545" t="s">
        <v>330</v>
      </c>
      <c r="D397" s="546"/>
      <c r="E397" s="335">
        <v>800.47</v>
      </c>
    </row>
    <row r="398" spans="1:5" ht="15" thickBot="1">
      <c r="A398" s="333"/>
      <c r="B398" s="364" t="s">
        <v>173</v>
      </c>
      <c r="C398" s="549" t="s">
        <v>609</v>
      </c>
      <c r="D398" s="550"/>
      <c r="E398" s="337">
        <v>1092.3399999999999</v>
      </c>
    </row>
    <row r="399" spans="1:5" ht="15" thickBot="1"/>
    <row r="400" spans="1:5">
      <c r="A400" s="322" t="s">
        <v>4</v>
      </c>
      <c r="B400" s="362" t="s">
        <v>3</v>
      </c>
      <c r="C400" s="324" t="s">
        <v>165</v>
      </c>
      <c r="D400" s="323" t="s">
        <v>166</v>
      </c>
      <c r="E400" s="325" t="s">
        <v>610</v>
      </c>
    </row>
    <row r="401" spans="1:5">
      <c r="A401" s="326" t="s">
        <v>171</v>
      </c>
      <c r="B401" s="363" t="s">
        <v>245</v>
      </c>
      <c r="C401" s="43" t="s">
        <v>981</v>
      </c>
      <c r="D401" s="38" t="s">
        <v>34</v>
      </c>
      <c r="E401" s="334">
        <f>E404</f>
        <v>2300</v>
      </c>
    </row>
    <row r="402" spans="1:5">
      <c r="A402" s="332"/>
      <c r="B402" s="344" t="s">
        <v>163</v>
      </c>
      <c r="C402" s="547" t="s">
        <v>167</v>
      </c>
      <c r="D402" s="547"/>
      <c r="E402" s="328" t="s">
        <v>164</v>
      </c>
    </row>
    <row r="403" spans="1:5">
      <c r="A403" s="332"/>
      <c r="B403" s="344"/>
      <c r="C403" s="545" t="s">
        <v>330</v>
      </c>
      <c r="D403" s="546"/>
      <c r="E403" s="335">
        <v>3636</v>
      </c>
    </row>
    <row r="404" spans="1:5" ht="15" thickBot="1">
      <c r="A404" s="333"/>
      <c r="B404" s="364" t="s">
        <v>173</v>
      </c>
      <c r="C404" s="549" t="s">
        <v>609</v>
      </c>
      <c r="D404" s="550"/>
      <c r="E404" s="337">
        <v>2300</v>
      </c>
    </row>
    <row r="405" spans="1:5" ht="15" thickBot="1"/>
    <row r="406" spans="1:5">
      <c r="A406" s="322" t="s">
        <v>4</v>
      </c>
      <c r="B406" s="362" t="s">
        <v>3</v>
      </c>
      <c r="C406" s="324" t="s">
        <v>165</v>
      </c>
      <c r="D406" s="323" t="s">
        <v>166</v>
      </c>
      <c r="E406" s="325" t="s">
        <v>610</v>
      </c>
    </row>
    <row r="407" spans="1:5">
      <c r="A407" s="326" t="s">
        <v>171</v>
      </c>
      <c r="B407" s="363" t="s">
        <v>246</v>
      </c>
      <c r="C407" s="43" t="s">
        <v>260</v>
      </c>
      <c r="D407" s="38" t="s">
        <v>34</v>
      </c>
      <c r="E407" s="334">
        <f>E409</f>
        <v>220</v>
      </c>
    </row>
    <row r="408" spans="1:5">
      <c r="A408" s="332"/>
      <c r="B408" s="524" t="s">
        <v>163</v>
      </c>
      <c r="C408" s="548" t="s">
        <v>167</v>
      </c>
      <c r="D408" s="548"/>
      <c r="E408" s="328" t="s">
        <v>164</v>
      </c>
    </row>
    <row r="409" spans="1:5">
      <c r="A409" s="332"/>
      <c r="B409" s="524"/>
      <c r="C409" s="545" t="s">
        <v>251</v>
      </c>
      <c r="D409" s="546"/>
      <c r="E409" s="391">
        <v>220</v>
      </c>
    </row>
    <row r="410" spans="1:5">
      <c r="A410" s="332"/>
      <c r="B410" s="524"/>
      <c r="C410" s="545" t="s">
        <v>252</v>
      </c>
      <c r="D410" s="546"/>
      <c r="E410" s="339">
        <v>250</v>
      </c>
    </row>
    <row r="411" spans="1:5" ht="15" thickBot="1">
      <c r="A411" s="333"/>
      <c r="B411" s="525"/>
      <c r="C411" s="549" t="s">
        <v>353</v>
      </c>
      <c r="D411" s="551"/>
      <c r="E411" s="348">
        <v>240</v>
      </c>
    </row>
    <row r="412" spans="1:5" ht="15" thickBot="1">
      <c r="B412" s="368"/>
      <c r="C412" s="41"/>
      <c r="D412" s="41"/>
      <c r="E412" s="42"/>
    </row>
    <row r="413" spans="1:5">
      <c r="A413" s="322" t="s">
        <v>4</v>
      </c>
      <c r="B413" s="362" t="s">
        <v>3</v>
      </c>
      <c r="C413" s="324" t="s">
        <v>165</v>
      </c>
      <c r="D413" s="323" t="s">
        <v>166</v>
      </c>
      <c r="E413" s="325" t="s">
        <v>610</v>
      </c>
    </row>
    <row r="414" spans="1:5">
      <c r="A414" s="326" t="s">
        <v>171</v>
      </c>
      <c r="B414" s="363" t="s">
        <v>247</v>
      </c>
      <c r="C414" s="43" t="s">
        <v>264</v>
      </c>
      <c r="D414" s="38" t="s">
        <v>34</v>
      </c>
      <c r="E414" s="334">
        <f>E416</f>
        <v>220</v>
      </c>
    </row>
    <row r="415" spans="1:5">
      <c r="A415" s="332"/>
      <c r="B415" s="524" t="s">
        <v>163</v>
      </c>
      <c r="C415" s="548" t="s">
        <v>167</v>
      </c>
      <c r="D415" s="548"/>
      <c r="E415" s="328" t="s">
        <v>164</v>
      </c>
    </row>
    <row r="416" spans="1:5">
      <c r="A416" s="332"/>
      <c r="B416" s="524"/>
      <c r="C416" s="545" t="s">
        <v>251</v>
      </c>
      <c r="D416" s="546"/>
      <c r="E416" s="391">
        <v>220</v>
      </c>
    </row>
    <row r="417" spans="1:5">
      <c r="A417" s="332"/>
      <c r="B417" s="524"/>
      <c r="C417" s="545" t="s">
        <v>252</v>
      </c>
      <c r="D417" s="546"/>
      <c r="E417" s="339">
        <v>250</v>
      </c>
    </row>
    <row r="418" spans="1:5" ht="15" thickBot="1">
      <c r="A418" s="333"/>
      <c r="B418" s="525"/>
      <c r="C418" s="549" t="s">
        <v>353</v>
      </c>
      <c r="D418" s="551"/>
      <c r="E418" s="348">
        <v>240</v>
      </c>
    </row>
    <row r="419" spans="1:5" ht="15" thickBot="1">
      <c r="B419" s="368"/>
      <c r="C419" s="41"/>
      <c r="D419" s="41"/>
      <c r="E419" s="42"/>
    </row>
    <row r="420" spans="1:5">
      <c r="A420" s="322" t="s">
        <v>4</v>
      </c>
      <c r="B420" s="362" t="s">
        <v>3</v>
      </c>
      <c r="C420" s="324" t="s">
        <v>165</v>
      </c>
      <c r="D420" s="323" t="s">
        <v>166</v>
      </c>
      <c r="E420" s="325" t="s">
        <v>610</v>
      </c>
    </row>
    <row r="421" spans="1:5">
      <c r="A421" s="326" t="s">
        <v>171</v>
      </c>
      <c r="B421" s="363" t="s">
        <v>248</v>
      </c>
      <c r="C421" s="484" t="s">
        <v>984</v>
      </c>
      <c r="D421" s="38" t="s">
        <v>34</v>
      </c>
      <c r="E421" s="334">
        <f>E424</f>
        <v>590</v>
      </c>
    </row>
    <row r="422" spans="1:5">
      <c r="A422" s="332"/>
      <c r="B422" s="344" t="s">
        <v>163</v>
      </c>
      <c r="C422" s="548" t="s">
        <v>167</v>
      </c>
      <c r="D422" s="548"/>
      <c r="E422" s="328" t="s">
        <v>164</v>
      </c>
    </row>
    <row r="423" spans="1:5">
      <c r="A423" s="332"/>
      <c r="B423" s="344"/>
      <c r="C423" s="545" t="s">
        <v>251</v>
      </c>
      <c r="D423" s="546"/>
      <c r="E423" s="391">
        <v>620</v>
      </c>
    </row>
    <row r="424" spans="1:5">
      <c r="A424" s="332"/>
      <c r="B424" s="344"/>
      <c r="C424" s="545" t="s">
        <v>252</v>
      </c>
      <c r="D424" s="546"/>
      <c r="E424" s="335">
        <v>590</v>
      </c>
    </row>
    <row r="425" spans="1:5">
      <c r="A425" s="332"/>
      <c r="B425" s="344"/>
      <c r="C425" s="545" t="s">
        <v>353</v>
      </c>
      <c r="D425" s="546"/>
      <c r="E425" s="339">
        <v>720</v>
      </c>
    </row>
    <row r="426" spans="1:5" ht="15" thickBot="1">
      <c r="A426" s="333"/>
      <c r="B426" s="364" t="s">
        <v>173</v>
      </c>
      <c r="C426" s="560" t="s">
        <v>354</v>
      </c>
      <c r="D426" s="561"/>
      <c r="E426" s="337"/>
    </row>
    <row r="427" spans="1:5">
      <c r="A427" s="332"/>
      <c r="B427" s="526"/>
      <c r="C427" s="623"/>
      <c r="D427" s="624"/>
      <c r="E427" s="625"/>
    </row>
    <row r="428" spans="1:5">
      <c r="A428" s="332"/>
      <c r="B428" s="526"/>
      <c r="C428" s="623"/>
      <c r="D428" s="624"/>
      <c r="E428" s="625"/>
    </row>
    <row r="429" spans="1:5" ht="15" thickBot="1">
      <c r="A429" s="332"/>
      <c r="B429" s="526"/>
      <c r="C429" s="623"/>
      <c r="D429" s="624"/>
      <c r="E429" s="625"/>
    </row>
    <row r="430" spans="1:5">
      <c r="A430" s="322" t="s">
        <v>4</v>
      </c>
      <c r="B430" s="362" t="s">
        <v>3</v>
      </c>
      <c r="C430" s="324" t="s">
        <v>165</v>
      </c>
      <c r="D430" s="323" t="s">
        <v>166</v>
      </c>
      <c r="E430" s="325" t="s">
        <v>610</v>
      </c>
    </row>
    <row r="431" spans="1:5">
      <c r="A431" s="326" t="s">
        <v>171</v>
      </c>
      <c r="B431" s="363" t="s">
        <v>249</v>
      </c>
      <c r="C431" s="484" t="s">
        <v>982</v>
      </c>
      <c r="D431" s="38" t="s">
        <v>34</v>
      </c>
      <c r="E431" s="334">
        <f>E433</f>
        <v>950</v>
      </c>
    </row>
    <row r="432" spans="1:5">
      <c r="A432" s="332"/>
      <c r="B432" s="344" t="s">
        <v>163</v>
      </c>
      <c r="C432" s="548" t="s">
        <v>167</v>
      </c>
      <c r="D432" s="548"/>
      <c r="E432" s="328" t="s">
        <v>164</v>
      </c>
    </row>
    <row r="433" spans="1:5">
      <c r="A433" s="332"/>
      <c r="B433" s="344"/>
      <c r="C433" s="545" t="s">
        <v>251</v>
      </c>
      <c r="D433" s="546"/>
      <c r="E433" s="391">
        <v>950</v>
      </c>
    </row>
    <row r="434" spans="1:5">
      <c r="A434" s="332"/>
      <c r="B434" s="344"/>
      <c r="C434" s="545" t="s">
        <v>252</v>
      </c>
      <c r="D434" s="546"/>
      <c r="E434" s="339">
        <v>1320</v>
      </c>
    </row>
    <row r="435" spans="1:5" ht="15" thickBot="1">
      <c r="A435" s="333"/>
      <c r="B435" s="357"/>
      <c r="C435" s="545" t="s">
        <v>353</v>
      </c>
      <c r="D435" s="546"/>
      <c r="E435" s="348">
        <v>1245</v>
      </c>
    </row>
    <row r="436" spans="1:5" ht="15" thickBot="1">
      <c r="B436" s="368"/>
      <c r="C436" s="41"/>
      <c r="D436" s="41"/>
      <c r="E436" s="42"/>
    </row>
    <row r="437" spans="1:5">
      <c r="A437" s="322" t="s">
        <v>4</v>
      </c>
      <c r="B437" s="362" t="s">
        <v>3</v>
      </c>
      <c r="C437" s="324" t="s">
        <v>165</v>
      </c>
      <c r="D437" s="323" t="s">
        <v>166</v>
      </c>
      <c r="E437" s="325" t="s">
        <v>610</v>
      </c>
    </row>
    <row r="438" spans="1:5">
      <c r="A438" s="326" t="s">
        <v>171</v>
      </c>
      <c r="B438" s="363" t="s">
        <v>254</v>
      </c>
      <c r="C438" s="484" t="s">
        <v>985</v>
      </c>
      <c r="D438" s="38" t="s">
        <v>34</v>
      </c>
      <c r="E438" s="334">
        <f>E440</f>
        <v>795</v>
      </c>
    </row>
    <row r="439" spans="1:5">
      <c r="A439" s="332"/>
      <c r="B439" s="344" t="s">
        <v>163</v>
      </c>
      <c r="C439" s="548" t="s">
        <v>167</v>
      </c>
      <c r="D439" s="548"/>
      <c r="E439" s="328" t="s">
        <v>164</v>
      </c>
    </row>
    <row r="440" spans="1:5">
      <c r="A440" s="332"/>
      <c r="B440" s="344"/>
      <c r="C440" s="545" t="s">
        <v>251</v>
      </c>
      <c r="D440" s="546"/>
      <c r="E440" s="391">
        <v>795</v>
      </c>
    </row>
    <row r="441" spans="1:5">
      <c r="A441" s="332"/>
      <c r="B441" s="344"/>
      <c r="C441" s="545" t="s">
        <v>252</v>
      </c>
      <c r="D441" s="546"/>
      <c r="E441" s="339">
        <v>820</v>
      </c>
    </row>
    <row r="442" spans="1:5" ht="15" thickBot="1">
      <c r="A442" s="333"/>
      <c r="B442" s="357"/>
      <c r="C442" s="545" t="s">
        <v>353</v>
      </c>
      <c r="D442" s="546"/>
      <c r="E442" s="348">
        <v>850</v>
      </c>
    </row>
    <row r="443" spans="1:5" ht="15" thickBot="1">
      <c r="B443" s="368"/>
      <c r="C443" s="41"/>
      <c r="D443" s="41"/>
      <c r="E443" s="42"/>
    </row>
    <row r="444" spans="1:5">
      <c r="A444" s="322" t="s">
        <v>4</v>
      </c>
      <c r="B444" s="362" t="s">
        <v>3</v>
      </c>
      <c r="C444" s="324" t="s">
        <v>165</v>
      </c>
      <c r="D444" s="323" t="s">
        <v>166</v>
      </c>
      <c r="E444" s="325" t="s">
        <v>610</v>
      </c>
    </row>
    <row r="445" spans="1:5">
      <c r="A445" s="326" t="s">
        <v>171</v>
      </c>
      <c r="B445" s="363" t="s">
        <v>256</v>
      </c>
      <c r="C445" s="484" t="s">
        <v>983</v>
      </c>
      <c r="D445" s="38" t="s">
        <v>34</v>
      </c>
      <c r="E445" s="334">
        <f>E448</f>
        <v>700</v>
      </c>
    </row>
    <row r="446" spans="1:5">
      <c r="A446" s="332"/>
      <c r="B446" s="344" t="s">
        <v>163</v>
      </c>
      <c r="C446" s="548" t="s">
        <v>167</v>
      </c>
      <c r="D446" s="548"/>
      <c r="E446" s="328" t="s">
        <v>164</v>
      </c>
    </row>
    <row r="447" spans="1:5">
      <c r="A447" s="332"/>
      <c r="B447" s="344"/>
      <c r="C447" s="545" t="s">
        <v>251</v>
      </c>
      <c r="D447" s="546"/>
      <c r="E447" s="391">
        <v>750</v>
      </c>
    </row>
    <row r="448" spans="1:5">
      <c r="A448" s="332"/>
      <c r="B448" s="344"/>
      <c r="C448" s="545" t="s">
        <v>252</v>
      </c>
      <c r="D448" s="546"/>
      <c r="E448" s="339">
        <v>700</v>
      </c>
    </row>
    <row r="449" spans="1:5" ht="15" thickBot="1">
      <c r="A449" s="333"/>
      <c r="B449" s="357"/>
      <c r="C449" s="545" t="s">
        <v>353</v>
      </c>
      <c r="D449" s="546"/>
      <c r="E449" s="348">
        <v>850</v>
      </c>
    </row>
    <row r="450" spans="1:5" ht="15" thickBot="1">
      <c r="B450" s="374"/>
      <c r="C450" s="183"/>
      <c r="D450" s="183"/>
      <c r="E450" s="371"/>
    </row>
    <row r="451" spans="1:5">
      <c r="A451" s="322" t="s">
        <v>4</v>
      </c>
      <c r="B451" s="362" t="s">
        <v>3</v>
      </c>
      <c r="C451" s="324" t="s">
        <v>165</v>
      </c>
      <c r="D451" s="323" t="s">
        <v>166</v>
      </c>
      <c r="E451" s="325" t="s">
        <v>610</v>
      </c>
    </row>
    <row r="452" spans="1:5">
      <c r="A452" s="326" t="s">
        <v>171</v>
      </c>
      <c r="B452" s="363" t="s">
        <v>257</v>
      </c>
      <c r="C452" s="43" t="s">
        <v>270</v>
      </c>
      <c r="D452" s="38" t="s">
        <v>13</v>
      </c>
      <c r="E452" s="334">
        <f>E454</f>
        <v>15</v>
      </c>
    </row>
    <row r="453" spans="1:5">
      <c r="A453" s="332"/>
      <c r="B453" s="344" t="s">
        <v>163</v>
      </c>
      <c r="C453" s="547" t="s">
        <v>167</v>
      </c>
      <c r="D453" s="547"/>
      <c r="E453" s="328" t="s">
        <v>164</v>
      </c>
    </row>
    <row r="454" spans="1:5">
      <c r="A454" s="332"/>
      <c r="B454" s="344"/>
      <c r="C454" s="547" t="s">
        <v>241</v>
      </c>
      <c r="D454" s="547"/>
      <c r="E454" s="335">
        <v>15</v>
      </c>
    </row>
    <row r="455" spans="1:5" ht="15" thickBot="1">
      <c r="A455" s="333"/>
      <c r="B455" s="364" t="s">
        <v>173</v>
      </c>
      <c r="C455" s="554"/>
      <c r="D455" s="559"/>
      <c r="E455" s="337"/>
    </row>
    <row r="456" spans="1:5" ht="15" thickBot="1">
      <c r="A456" s="330"/>
      <c r="B456" s="526"/>
      <c r="C456" s="320"/>
      <c r="D456" s="41"/>
      <c r="E456" s="42"/>
    </row>
    <row r="457" spans="1:5">
      <c r="A457" s="322" t="s">
        <v>4</v>
      </c>
      <c r="B457" s="362" t="s">
        <v>3</v>
      </c>
      <c r="C457" s="324" t="s">
        <v>165</v>
      </c>
      <c r="D457" s="323" t="s">
        <v>166</v>
      </c>
      <c r="E457" s="325" t="s">
        <v>610</v>
      </c>
    </row>
    <row r="458" spans="1:5">
      <c r="A458" s="326" t="s">
        <v>171</v>
      </c>
      <c r="B458" s="363" t="s">
        <v>258</v>
      </c>
      <c r="C458" s="43" t="s">
        <v>569</v>
      </c>
      <c r="D458" s="38" t="s">
        <v>34</v>
      </c>
      <c r="E458" s="334">
        <f>E460</f>
        <v>220.84</v>
      </c>
    </row>
    <row r="459" spans="1:5">
      <c r="A459" s="332"/>
      <c r="B459" s="344" t="s">
        <v>163</v>
      </c>
      <c r="C459" s="547" t="s">
        <v>167</v>
      </c>
      <c r="D459" s="547"/>
      <c r="E459" s="328" t="s">
        <v>164</v>
      </c>
    </row>
    <row r="460" spans="1:5">
      <c r="A460" s="332"/>
      <c r="B460" s="344"/>
      <c r="C460" s="547" t="s">
        <v>241</v>
      </c>
      <c r="D460" s="547"/>
      <c r="E460" s="335">
        <v>220.84</v>
      </c>
    </row>
    <row r="461" spans="1:5" ht="15" thickBot="1">
      <c r="A461" s="333"/>
      <c r="B461" s="364" t="s">
        <v>173</v>
      </c>
      <c r="C461" s="554"/>
      <c r="D461" s="559"/>
      <c r="E461" s="337"/>
    </row>
    <row r="462" spans="1:5" ht="15" thickBot="1"/>
    <row r="463" spans="1:5">
      <c r="A463" s="322" t="s">
        <v>4</v>
      </c>
      <c r="B463" s="362" t="s">
        <v>3</v>
      </c>
      <c r="C463" s="324" t="s">
        <v>165</v>
      </c>
      <c r="D463" s="323" t="s">
        <v>166</v>
      </c>
      <c r="E463" s="325" t="s">
        <v>610</v>
      </c>
    </row>
    <row r="464" spans="1:5">
      <c r="A464" s="326" t="s">
        <v>171</v>
      </c>
      <c r="B464" s="363" t="s">
        <v>259</v>
      </c>
      <c r="C464" s="43" t="s">
        <v>203</v>
      </c>
      <c r="D464" s="38" t="s">
        <v>34</v>
      </c>
      <c r="E464" s="334">
        <f>E467</f>
        <v>5.2</v>
      </c>
    </row>
    <row r="465" spans="1:5">
      <c r="A465" s="327"/>
      <c r="B465" s="344" t="s">
        <v>163</v>
      </c>
      <c r="C465" s="547" t="s">
        <v>167</v>
      </c>
      <c r="D465" s="547"/>
      <c r="E465" s="328" t="s">
        <v>164</v>
      </c>
    </row>
    <row r="466" spans="1:5">
      <c r="A466" s="327"/>
      <c r="B466" s="344"/>
      <c r="C466" s="545" t="s">
        <v>174</v>
      </c>
      <c r="D466" s="546"/>
      <c r="E466" s="335">
        <v>8</v>
      </c>
    </row>
    <row r="467" spans="1:5">
      <c r="A467" s="327"/>
      <c r="B467" s="359"/>
      <c r="C467" s="545" t="s">
        <v>565</v>
      </c>
      <c r="D467" s="562"/>
      <c r="E467" s="336">
        <v>5.2</v>
      </c>
    </row>
    <row r="468" spans="1:5" ht="15" thickBot="1">
      <c r="A468" s="329"/>
      <c r="B468" s="357" t="s">
        <v>358</v>
      </c>
      <c r="C468" s="560" t="s">
        <v>566</v>
      </c>
      <c r="D468" s="561"/>
      <c r="E468" s="337"/>
    </row>
    <row r="469" spans="1:5" ht="15" thickBot="1"/>
    <row r="470" spans="1:5">
      <c r="A470" s="322" t="s">
        <v>171</v>
      </c>
      <c r="B470" s="365" t="s">
        <v>261</v>
      </c>
      <c r="C470" s="324" t="s">
        <v>570</v>
      </c>
      <c r="D470" s="331" t="s">
        <v>34</v>
      </c>
      <c r="E470" s="338">
        <f>E473</f>
        <v>9.44</v>
      </c>
    </row>
    <row r="471" spans="1:5">
      <c r="A471" s="332"/>
      <c r="B471" s="344" t="s">
        <v>163</v>
      </c>
      <c r="C471" s="545" t="s">
        <v>167</v>
      </c>
      <c r="D471" s="546"/>
      <c r="E471" s="328" t="s">
        <v>164</v>
      </c>
    </row>
    <row r="472" spans="1:5">
      <c r="A472" s="332"/>
      <c r="B472" s="344"/>
      <c r="C472" s="545" t="s">
        <v>174</v>
      </c>
      <c r="D472" s="546"/>
      <c r="E472" s="335">
        <v>11.76</v>
      </c>
    </row>
    <row r="473" spans="1:5">
      <c r="A473" s="327"/>
      <c r="B473" s="359"/>
      <c r="C473" s="545" t="s">
        <v>567</v>
      </c>
      <c r="D473" s="562"/>
      <c r="E473" s="336">
        <v>9.44</v>
      </c>
    </row>
    <row r="474" spans="1:5">
      <c r="A474" s="327"/>
      <c r="B474" s="359"/>
      <c r="C474" s="139"/>
      <c r="D474" s="140"/>
      <c r="E474" s="336"/>
    </row>
    <row r="475" spans="1:5" ht="15" thickBot="1">
      <c r="A475" s="333"/>
      <c r="B475" s="357" t="s">
        <v>358</v>
      </c>
      <c r="C475" s="560" t="s">
        <v>571</v>
      </c>
      <c r="D475" s="561"/>
      <c r="E475" s="337"/>
    </row>
    <row r="477" spans="1:5" ht="15" thickBot="1"/>
    <row r="478" spans="1:5">
      <c r="A478" s="322" t="s">
        <v>4</v>
      </c>
      <c r="B478" s="362" t="s">
        <v>3</v>
      </c>
      <c r="C478" s="324" t="s">
        <v>165</v>
      </c>
      <c r="D478" s="323" t="s">
        <v>166</v>
      </c>
      <c r="E478" s="325" t="s">
        <v>610</v>
      </c>
    </row>
    <row r="479" spans="1:5">
      <c r="A479" s="326" t="s">
        <v>171</v>
      </c>
      <c r="B479" s="363" t="s">
        <v>262</v>
      </c>
      <c r="C479" s="43" t="s">
        <v>505</v>
      </c>
      <c r="D479" s="38" t="s">
        <v>34</v>
      </c>
      <c r="E479" s="334">
        <f>E481</f>
        <v>54000</v>
      </c>
    </row>
    <row r="480" spans="1:5">
      <c r="A480" s="332"/>
      <c r="B480" s="344" t="s">
        <v>163</v>
      </c>
      <c r="C480" s="547" t="s">
        <v>167</v>
      </c>
      <c r="D480" s="547"/>
      <c r="E480" s="328" t="s">
        <v>164</v>
      </c>
    </row>
    <row r="481" spans="1:5">
      <c r="A481" s="332"/>
      <c r="B481" s="344"/>
      <c r="C481" s="548" t="s">
        <v>506</v>
      </c>
      <c r="D481" s="548"/>
      <c r="E481" s="335">
        <v>54000</v>
      </c>
    </row>
    <row r="482" spans="1:5" ht="15" thickBot="1">
      <c r="A482" s="333"/>
      <c r="B482" s="364" t="s">
        <v>173</v>
      </c>
      <c r="C482" s="560" t="s">
        <v>504</v>
      </c>
      <c r="D482" s="561"/>
      <c r="E482" s="337"/>
    </row>
    <row r="483" spans="1:5" ht="15" thickBot="1"/>
    <row r="484" spans="1:5">
      <c r="A484" s="322" t="s">
        <v>4</v>
      </c>
      <c r="B484" s="362" t="s">
        <v>3</v>
      </c>
      <c r="C484" s="324" t="s">
        <v>165</v>
      </c>
      <c r="D484" s="323" t="s">
        <v>166</v>
      </c>
      <c r="E484" s="325" t="s">
        <v>610</v>
      </c>
    </row>
    <row r="485" spans="1:5">
      <c r="A485" s="326" t="s">
        <v>171</v>
      </c>
      <c r="B485" s="363" t="s">
        <v>263</v>
      </c>
      <c r="C485" s="43" t="s">
        <v>271</v>
      </c>
      <c r="D485" s="38" t="s">
        <v>13</v>
      </c>
      <c r="E485" s="334">
        <f>E487</f>
        <v>224.8</v>
      </c>
    </row>
    <row r="486" spans="1:5">
      <c r="A486" s="332"/>
      <c r="B486" s="344" t="s">
        <v>163</v>
      </c>
      <c r="C486" s="547" t="s">
        <v>167</v>
      </c>
      <c r="D486" s="547"/>
      <c r="E486" s="328" t="s">
        <v>164</v>
      </c>
    </row>
    <row r="487" spans="1:5">
      <c r="A487" s="332"/>
      <c r="B487" s="344"/>
      <c r="C487" s="545" t="s">
        <v>241</v>
      </c>
      <c r="D487" s="546"/>
      <c r="E487" s="335">
        <v>224.8</v>
      </c>
    </row>
    <row r="488" spans="1:5" ht="15" thickBot="1">
      <c r="A488" s="333"/>
      <c r="B488" s="364" t="s">
        <v>173</v>
      </c>
      <c r="C488" s="549"/>
      <c r="D488" s="550"/>
      <c r="E488" s="337"/>
    </row>
    <row r="489" spans="1:5" ht="15" thickBot="1"/>
    <row r="490" spans="1:5">
      <c r="A490" s="322" t="s">
        <v>4</v>
      </c>
      <c r="B490" s="362" t="s">
        <v>3</v>
      </c>
      <c r="C490" s="324" t="s">
        <v>165</v>
      </c>
      <c r="D490" s="323" t="s">
        <v>166</v>
      </c>
      <c r="E490" s="325" t="s">
        <v>610</v>
      </c>
    </row>
    <row r="491" spans="1:5">
      <c r="A491" s="326" t="s">
        <v>171</v>
      </c>
      <c r="B491" s="363" t="s">
        <v>269</v>
      </c>
      <c r="C491" s="43" t="s">
        <v>109</v>
      </c>
      <c r="D491" s="38" t="s">
        <v>34</v>
      </c>
      <c r="E491" s="334">
        <f>E493</f>
        <v>399</v>
      </c>
    </row>
    <row r="492" spans="1:5">
      <c r="A492" s="327"/>
      <c r="B492" s="344"/>
      <c r="C492" s="545" t="s">
        <v>167</v>
      </c>
      <c r="D492" s="546"/>
      <c r="E492" s="328" t="s">
        <v>164</v>
      </c>
    </row>
    <row r="493" spans="1:5">
      <c r="A493" s="327"/>
      <c r="B493" s="344"/>
      <c r="C493" s="545" t="s">
        <v>170</v>
      </c>
      <c r="D493" s="546"/>
      <c r="E493" s="335">
        <v>399</v>
      </c>
    </row>
    <row r="494" spans="1:5">
      <c r="A494" s="327"/>
      <c r="B494" s="359"/>
      <c r="C494" s="545" t="s">
        <v>336</v>
      </c>
      <c r="D494" s="546"/>
      <c r="E494" s="335">
        <v>418.95</v>
      </c>
    </row>
    <row r="495" spans="1:5">
      <c r="A495" s="327"/>
      <c r="B495" s="359"/>
      <c r="C495" s="545" t="s">
        <v>346</v>
      </c>
      <c r="D495" s="546"/>
      <c r="E495" s="335">
        <v>418.95</v>
      </c>
    </row>
    <row r="496" spans="1:5" ht="15" thickBot="1">
      <c r="A496" s="329"/>
      <c r="B496" s="364" t="s">
        <v>358</v>
      </c>
      <c r="C496" s="560" t="s">
        <v>361</v>
      </c>
      <c r="D496" s="561"/>
      <c r="E496" s="337"/>
    </row>
  </sheetData>
  <mergeCells count="243">
    <mergeCell ref="C270:D270"/>
    <mergeCell ref="C271:D271"/>
    <mergeCell ref="C350:D350"/>
    <mergeCell ref="C351:D351"/>
    <mergeCell ref="C369:D369"/>
    <mergeCell ref="C15:D15"/>
    <mergeCell ref="C16:D16"/>
    <mergeCell ref="C20:D20"/>
    <mergeCell ref="C21:D21"/>
    <mergeCell ref="C22:D22"/>
    <mergeCell ref="C26:D26"/>
    <mergeCell ref="C27:D27"/>
    <mergeCell ref="C28:D28"/>
    <mergeCell ref="C402:D402"/>
    <mergeCell ref="C403:D403"/>
    <mergeCell ref="C404:D404"/>
    <mergeCell ref="C224:D224"/>
    <mergeCell ref="C225:D225"/>
    <mergeCell ref="C410:D410"/>
    <mergeCell ref="C415:D415"/>
    <mergeCell ref="C416:D416"/>
    <mergeCell ref="C417:D417"/>
    <mergeCell ref="C32:D32"/>
    <mergeCell ref="C33:D33"/>
    <mergeCell ref="C34:D34"/>
    <mergeCell ref="C494:D494"/>
    <mergeCell ref="C495:D495"/>
    <mergeCell ref="C348:D348"/>
    <mergeCell ref="C349:D349"/>
    <mergeCell ref="C212:D212"/>
    <mergeCell ref="C217:D217"/>
    <mergeCell ref="C218:D218"/>
    <mergeCell ref="C219:D219"/>
    <mergeCell ref="C220:D220"/>
    <mergeCell ref="C342:D342"/>
    <mergeCell ref="C343:D343"/>
    <mergeCell ref="C344:D344"/>
    <mergeCell ref="C398:D398"/>
    <mergeCell ref="C355:D355"/>
    <mergeCell ref="C356:D356"/>
    <mergeCell ref="C362:D362"/>
    <mergeCell ref="C364:D364"/>
    <mergeCell ref="C368:D368"/>
    <mergeCell ref="C370:D370"/>
    <mergeCell ref="C260:D260"/>
    <mergeCell ref="C326:D326"/>
    <mergeCell ref="C327:D327"/>
    <mergeCell ref="C328:D328"/>
    <mergeCell ref="C314:D314"/>
    <mergeCell ref="C316:D316"/>
    <mergeCell ref="C315:D315"/>
    <mergeCell ref="C320:D320"/>
    <mergeCell ref="C322:D322"/>
    <mergeCell ref="C321:D321"/>
    <mergeCell ref="C261:D261"/>
    <mergeCell ref="C262:D262"/>
    <mergeCell ref="C371:D371"/>
    <mergeCell ref="C363:D363"/>
    <mergeCell ref="C357:D357"/>
    <mergeCell ref="C358:D358"/>
    <mergeCell ref="C409:D409"/>
    <mergeCell ref="C449:D449"/>
    <mergeCell ref="C418:D418"/>
    <mergeCell ref="C411:D411"/>
    <mergeCell ref="C384:D384"/>
    <mergeCell ref="C385:D385"/>
    <mergeCell ref="C386:D386"/>
    <mergeCell ref="C390:D390"/>
    <mergeCell ref="C391:D391"/>
    <mergeCell ref="C392:D392"/>
    <mergeCell ref="C396:D396"/>
    <mergeCell ref="C397:D397"/>
    <mergeCell ref="C432:D432"/>
    <mergeCell ref="C433:D433"/>
    <mergeCell ref="C435:D435"/>
    <mergeCell ref="C439:D439"/>
    <mergeCell ref="C440:D440"/>
    <mergeCell ref="C441:D441"/>
    <mergeCell ref="C408:D408"/>
    <mergeCell ref="C72:D72"/>
    <mergeCell ref="C73:D73"/>
    <mergeCell ref="C75:D75"/>
    <mergeCell ref="C206:D206"/>
    <mergeCell ref="C255:D255"/>
    <mergeCell ref="C256:D256"/>
    <mergeCell ref="C198:D198"/>
    <mergeCell ref="C199:D199"/>
    <mergeCell ref="C200:D200"/>
    <mergeCell ref="C204:D204"/>
    <mergeCell ref="C205:D205"/>
    <mergeCell ref="C234:D234"/>
    <mergeCell ref="C236:D236"/>
    <mergeCell ref="C422:D422"/>
    <mergeCell ref="C424:D424"/>
    <mergeCell ref="C426:D426"/>
    <mergeCell ref="C268:D268"/>
    <mergeCell ref="C269:D269"/>
    <mergeCell ref="C272:D272"/>
    <mergeCell ref="C446:D446"/>
    <mergeCell ref="C447:D447"/>
    <mergeCell ref="C448:D448"/>
    <mergeCell ref="C442:D442"/>
    <mergeCell ref="C434:D434"/>
    <mergeCell ref="C150:D150"/>
    <mergeCell ref="C151:D151"/>
    <mergeCell ref="C152:D152"/>
    <mergeCell ref="C210:D210"/>
    <mergeCell ref="C211:D211"/>
    <mergeCell ref="C213:D213"/>
    <mergeCell ref="C99:D99"/>
    <mergeCell ref="C104:D104"/>
    <mergeCell ref="C105:D105"/>
    <mergeCell ref="C98:D98"/>
    <mergeCell ref="C100:D100"/>
    <mergeCell ref="C108:D108"/>
    <mergeCell ref="C112:D112"/>
    <mergeCell ref="C113:D113"/>
    <mergeCell ref="C114:D114"/>
    <mergeCell ref="C106:D106"/>
    <mergeCell ref="C87:D87"/>
    <mergeCell ref="C89:D89"/>
    <mergeCell ref="C88:D88"/>
    <mergeCell ref="C79:D79"/>
    <mergeCell ref="C80:D80"/>
    <mergeCell ref="C83:D83"/>
    <mergeCell ref="C465:D465"/>
    <mergeCell ref="C466:D466"/>
    <mergeCell ref="C468:D468"/>
    <mergeCell ref="C473:D473"/>
    <mergeCell ref="C81:D81"/>
    <mergeCell ref="C82:D82"/>
    <mergeCell ref="C248:D248"/>
    <mergeCell ref="C249:D249"/>
    <mergeCell ref="C251:D251"/>
    <mergeCell ref="C279:D279"/>
    <mergeCell ref="C471:D471"/>
    <mergeCell ref="C472:D472"/>
    <mergeCell ref="C467:D467"/>
    <mergeCell ref="C475:D475"/>
    <mergeCell ref="A1:E1"/>
    <mergeCell ref="C56:D56"/>
    <mergeCell ref="C57:D57"/>
    <mergeCell ref="C60:D60"/>
    <mergeCell ref="C64:D64"/>
    <mergeCell ref="C67:D67"/>
    <mergeCell ref="C68:D68"/>
    <mergeCell ref="C38:D38"/>
    <mergeCell ref="C40:D40"/>
    <mergeCell ref="C42:D42"/>
    <mergeCell ref="C39:D39"/>
    <mergeCell ref="C41:D41"/>
    <mergeCell ref="C59:D59"/>
    <mergeCell ref="C58:D58"/>
    <mergeCell ref="C66:D66"/>
    <mergeCell ref="C65:D65"/>
    <mergeCell ref="A6:E6"/>
    <mergeCell ref="C492:D492"/>
    <mergeCell ref="C493:D493"/>
    <mergeCell ref="C496:D496"/>
    <mergeCell ref="C242:D242"/>
    <mergeCell ref="C243:D243"/>
    <mergeCell ref="C303:D303"/>
    <mergeCell ref="C296:D296"/>
    <mergeCell ref="C297:D297"/>
    <mergeCell ref="C277:D277"/>
    <mergeCell ref="C278:D278"/>
    <mergeCell ref="C241:D241"/>
    <mergeCell ref="C244:D244"/>
    <mergeCell ref="C302:D302"/>
    <mergeCell ref="C305:D305"/>
    <mergeCell ref="C288:D288"/>
    <mergeCell ref="C289:D289"/>
    <mergeCell ref="C304:D304"/>
    <mergeCell ref="C250:D250"/>
    <mergeCell ref="C276:D276"/>
    <mergeCell ref="C290:D290"/>
    <mergeCell ref="C291:D291"/>
    <mergeCell ref="C295:D295"/>
    <mergeCell ref="C298:D298"/>
    <mergeCell ref="C486:D486"/>
    <mergeCell ref="C487:D487"/>
    <mergeCell ref="C488:D488"/>
    <mergeCell ref="C375:D375"/>
    <mergeCell ref="C376:D376"/>
    <mergeCell ref="C377:D377"/>
    <mergeCell ref="C425:D425"/>
    <mergeCell ref="C423:D423"/>
    <mergeCell ref="C453:D453"/>
    <mergeCell ref="C454:D454"/>
    <mergeCell ref="C455:D455"/>
    <mergeCell ref="C480:D480"/>
    <mergeCell ref="C481:D481"/>
    <mergeCell ref="C482:D482"/>
    <mergeCell ref="C459:D459"/>
    <mergeCell ref="C460:D460"/>
    <mergeCell ref="C461:D461"/>
    <mergeCell ref="C338:D338"/>
    <mergeCell ref="C264:D264"/>
    <mergeCell ref="C193:D193"/>
    <mergeCell ref="C194:D194"/>
    <mergeCell ref="C309:D309"/>
    <mergeCell ref="C310:D310"/>
    <mergeCell ref="C158:D158"/>
    <mergeCell ref="C162:D162"/>
    <mergeCell ref="C163:D163"/>
    <mergeCell ref="C164:D164"/>
    <mergeCell ref="C168:D168"/>
    <mergeCell ref="C169:D169"/>
    <mergeCell ref="C156:D156"/>
    <mergeCell ref="C157:D157"/>
    <mergeCell ref="C52:D52"/>
    <mergeCell ref="C182:D182"/>
    <mergeCell ref="C186:D186"/>
    <mergeCell ref="C187:D187"/>
    <mergeCell ref="C188:D188"/>
    <mergeCell ref="C50:D50"/>
    <mergeCell ref="C10:D10"/>
    <mergeCell ref="C11:D11"/>
    <mergeCell ref="C118:D118"/>
    <mergeCell ref="C120:D120"/>
    <mergeCell ref="C119:D119"/>
    <mergeCell ref="C121:D121"/>
    <mergeCell ref="C126:D126"/>
    <mergeCell ref="C336:D336"/>
    <mergeCell ref="C337:D337"/>
    <mergeCell ref="C51:D51"/>
    <mergeCell ref="C170:D170"/>
    <mergeCell ref="C174:D174"/>
    <mergeCell ref="C175:D175"/>
    <mergeCell ref="C176:D176"/>
    <mergeCell ref="C180:D180"/>
    <mergeCell ref="C181:D181"/>
    <mergeCell ref="C131:D131"/>
    <mergeCell ref="C132:D132"/>
    <mergeCell ref="C263:D263"/>
    <mergeCell ref="C127:D127"/>
    <mergeCell ref="C229:D229"/>
    <mergeCell ref="C230:D230"/>
    <mergeCell ref="C235:D235"/>
    <mergeCell ref="C136:D136"/>
    <mergeCell ref="C137:D137"/>
    <mergeCell ref="C145:D145"/>
    <mergeCell ref="C146:D146"/>
  </mergeCells>
  <phoneticPr fontId="45" type="noConversion"/>
  <pageMargins left="0.51181102362204722" right="0.51181102362204722" top="0.78740157480314965" bottom="0.78740157480314965" header="0.31496062992125984" footer="0.31496062992125984"/>
  <pageSetup paperSize="9" scale="69" fitToHeight="0" orientation="landscape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20"/>
  <sheetViews>
    <sheetView zoomScale="85" zoomScaleNormal="85" workbookViewId="0">
      <selection activeCell="C12" sqref="C12"/>
    </sheetView>
  </sheetViews>
  <sheetFormatPr defaultRowHeight="14.4"/>
  <cols>
    <col min="1" max="1" width="24.44140625" customWidth="1"/>
    <col min="2" max="2" width="8.88671875" style="160"/>
    <col min="3" max="3" width="83.88671875" style="146" customWidth="1"/>
    <col min="6" max="6" width="11.6640625" customWidth="1"/>
    <col min="7" max="7" width="12.109375" customWidth="1"/>
    <col min="8" max="8" width="10.5546875" style="164" customWidth="1"/>
  </cols>
  <sheetData>
    <row r="2" spans="1:8" ht="17.399999999999999">
      <c r="A2" s="566"/>
      <c r="B2" s="567"/>
      <c r="C2" s="567"/>
      <c r="D2" s="567"/>
      <c r="E2" s="567"/>
    </row>
    <row r="3" spans="1:8" ht="17.399999999999999">
      <c r="A3" s="137"/>
      <c r="C3" s="138"/>
      <c r="D3" s="138"/>
      <c r="E3" s="138"/>
    </row>
    <row r="4" spans="1:8" ht="17.399999999999999">
      <c r="A4" s="137"/>
      <c r="C4" s="399" t="s">
        <v>620</v>
      </c>
      <c r="D4" s="138"/>
      <c r="E4" s="138"/>
    </row>
    <row r="5" spans="1:8" ht="18" thickBot="1">
      <c r="A5" s="137"/>
      <c r="C5" s="6"/>
      <c r="D5" s="138"/>
      <c r="E5" s="138"/>
    </row>
    <row r="6" spans="1:8" ht="25.95" customHeight="1" thickBot="1">
      <c r="A6" s="530" t="s">
        <v>621</v>
      </c>
      <c r="B6" s="531"/>
      <c r="C6" s="531"/>
      <c r="D6" s="531"/>
      <c r="E6" s="531"/>
      <c r="F6" s="531"/>
      <c r="G6" s="531"/>
      <c r="H6" s="532"/>
    </row>
    <row r="7" spans="1:8">
      <c r="C7"/>
    </row>
    <row r="8" spans="1:8" ht="25.2" customHeight="1">
      <c r="A8" s="401" t="s">
        <v>4</v>
      </c>
      <c r="B8" s="402" t="s">
        <v>3</v>
      </c>
      <c r="C8" s="401" t="s">
        <v>165</v>
      </c>
      <c r="D8" s="401" t="s">
        <v>166</v>
      </c>
      <c r="E8" s="401" t="s">
        <v>365</v>
      </c>
      <c r="F8" s="401" t="s">
        <v>366</v>
      </c>
      <c r="G8" s="401" t="s">
        <v>367</v>
      </c>
      <c r="H8" s="403" t="s">
        <v>372</v>
      </c>
    </row>
    <row r="9" spans="1:8" ht="15" thickBot="1"/>
    <row r="10" spans="1:8" ht="25.2" customHeight="1">
      <c r="A10" s="156" t="s">
        <v>255</v>
      </c>
      <c r="B10" s="159" t="s">
        <v>475</v>
      </c>
      <c r="C10" s="158" t="s">
        <v>379</v>
      </c>
      <c r="D10" s="157" t="s">
        <v>368</v>
      </c>
      <c r="E10" s="157"/>
      <c r="F10" s="157"/>
      <c r="G10" s="579">
        <f>SUM(H11:H14)</f>
        <v>419.36747600000001</v>
      </c>
      <c r="H10" s="580"/>
    </row>
    <row r="11" spans="1:8" ht="25.2" customHeight="1">
      <c r="A11" s="151" t="s">
        <v>369</v>
      </c>
      <c r="B11" s="163" t="s">
        <v>363</v>
      </c>
      <c r="C11" s="24" t="s">
        <v>374</v>
      </c>
      <c r="D11" s="148" t="s">
        <v>370</v>
      </c>
      <c r="E11" s="148">
        <v>1.5900000000000001E-2</v>
      </c>
      <c r="F11" s="148">
        <v>0</v>
      </c>
      <c r="G11" s="150">
        <v>129.32</v>
      </c>
      <c r="H11" s="165">
        <f t="shared" ref="H11:H14" si="0">G11*E11</f>
        <v>2.0561880000000001</v>
      </c>
    </row>
    <row r="12" spans="1:8" ht="25.2" customHeight="1">
      <c r="A12" s="151" t="s">
        <v>231</v>
      </c>
      <c r="B12" s="161" t="s">
        <v>269</v>
      </c>
      <c r="C12" s="149" t="s">
        <v>361</v>
      </c>
      <c r="D12" s="148" t="s">
        <v>370</v>
      </c>
      <c r="E12" s="148">
        <v>1</v>
      </c>
      <c r="F12" s="148">
        <v>0</v>
      </c>
      <c r="G12" s="150">
        <f>Cotação!E491</f>
        <v>399</v>
      </c>
      <c r="H12" s="165">
        <f t="shared" si="0"/>
        <v>399</v>
      </c>
    </row>
    <row r="13" spans="1:8" ht="25.2" customHeight="1">
      <c r="A13" s="151" t="s">
        <v>10</v>
      </c>
      <c r="B13" s="161" t="s">
        <v>378</v>
      </c>
      <c r="C13" s="149" t="s">
        <v>375</v>
      </c>
      <c r="D13" s="148" t="s">
        <v>371</v>
      </c>
      <c r="E13" s="148">
        <v>0.4546</v>
      </c>
      <c r="F13" s="148">
        <v>0</v>
      </c>
      <c r="G13" s="150">
        <v>17.100000000000001</v>
      </c>
      <c r="H13" s="165">
        <f t="shared" si="0"/>
        <v>7.7736600000000005</v>
      </c>
    </row>
    <row r="14" spans="1:8" ht="25.2" customHeight="1" thickBot="1">
      <c r="A14" s="152" t="s">
        <v>10</v>
      </c>
      <c r="B14" s="162" t="s">
        <v>377</v>
      </c>
      <c r="C14" s="154" t="s">
        <v>376</v>
      </c>
      <c r="D14" s="153" t="s">
        <v>371</v>
      </c>
      <c r="E14" s="153">
        <v>0.4546</v>
      </c>
      <c r="F14" s="153">
        <v>0</v>
      </c>
      <c r="G14" s="155">
        <v>23.18</v>
      </c>
      <c r="H14" s="166">
        <f t="shared" si="0"/>
        <v>10.537628</v>
      </c>
    </row>
    <row r="15" spans="1:8" ht="25.2" customHeight="1" thickBot="1"/>
    <row r="16" spans="1:8" ht="25.2" customHeight="1">
      <c r="A16" s="156" t="s">
        <v>255</v>
      </c>
      <c r="B16" s="159" t="s">
        <v>476</v>
      </c>
      <c r="C16" s="158" t="s">
        <v>597</v>
      </c>
      <c r="D16" s="157" t="s">
        <v>368</v>
      </c>
      <c r="E16" s="157"/>
      <c r="F16" s="157"/>
      <c r="G16" s="579">
        <f>SUM(H17:H20)</f>
        <v>24.52</v>
      </c>
      <c r="H16" s="580"/>
    </row>
    <row r="17" spans="1:8" ht="25.2" customHeight="1">
      <c r="A17" s="342" t="s">
        <v>10</v>
      </c>
      <c r="B17" s="163" t="s">
        <v>601</v>
      </c>
      <c r="C17" s="343" t="s">
        <v>599</v>
      </c>
      <c r="D17" s="148" t="s">
        <v>17</v>
      </c>
      <c r="E17" s="148">
        <v>8.6199999999999992</v>
      </c>
      <c r="F17" s="148">
        <v>0</v>
      </c>
      <c r="G17">
        <v>1.22</v>
      </c>
      <c r="H17" s="341">
        <f t="shared" ref="H17:H20" si="1">G17*E17</f>
        <v>10.516399999999999</v>
      </c>
    </row>
    <row r="18" spans="1:8" ht="25.2" customHeight="1">
      <c r="A18" s="342" t="s">
        <v>10</v>
      </c>
      <c r="B18" s="163" t="s">
        <v>600</v>
      </c>
      <c r="C18" s="343" t="s">
        <v>598</v>
      </c>
      <c r="D18" s="148" t="s">
        <v>17</v>
      </c>
      <c r="E18" s="148">
        <v>0.14000000000000001</v>
      </c>
      <c r="F18" s="148">
        <v>0</v>
      </c>
      <c r="G18" s="148">
        <v>2.54</v>
      </c>
      <c r="H18" s="341">
        <f t="shared" si="1"/>
        <v>0.35560000000000003</v>
      </c>
    </row>
    <row r="19" spans="1:8" ht="25.2" customHeight="1">
      <c r="A19" s="342" t="s">
        <v>10</v>
      </c>
      <c r="B19" s="163" t="s">
        <v>603</v>
      </c>
      <c r="C19" s="343" t="s">
        <v>602</v>
      </c>
      <c r="D19" s="148" t="s">
        <v>577</v>
      </c>
      <c r="E19" s="148">
        <v>0.44</v>
      </c>
      <c r="F19" s="148">
        <v>0</v>
      </c>
      <c r="G19" s="148">
        <v>23.25</v>
      </c>
      <c r="H19" s="341">
        <f t="shared" si="1"/>
        <v>10.23</v>
      </c>
    </row>
    <row r="20" spans="1:8" ht="25.2" customHeight="1">
      <c r="A20" s="342" t="s">
        <v>10</v>
      </c>
      <c r="B20" s="163" t="s">
        <v>605</v>
      </c>
      <c r="C20" s="343" t="s">
        <v>604</v>
      </c>
      <c r="D20" s="148" t="s">
        <v>577</v>
      </c>
      <c r="E20" s="148">
        <v>0.2</v>
      </c>
      <c r="F20" s="148">
        <v>0</v>
      </c>
      <c r="G20" s="148">
        <v>17.09</v>
      </c>
      <c r="H20" s="341">
        <f t="shared" si="1"/>
        <v>3.4180000000000001</v>
      </c>
    </row>
  </sheetData>
  <mergeCells count="4">
    <mergeCell ref="G16:H16"/>
    <mergeCell ref="A2:E2"/>
    <mergeCell ref="G10:H10"/>
    <mergeCell ref="A6:H6"/>
  </mergeCells>
  <pageMargins left="0.51181102362204722" right="0.51181102362204722" top="0.78740157480314965" bottom="0.78740157480314965" header="0.31496062992125984" footer="0.31496062992125984"/>
  <pageSetup paperSize="9" scale="51" fitToHeight="0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J46"/>
  <sheetViews>
    <sheetView workbookViewId="0">
      <selection activeCell="F41" sqref="F41"/>
    </sheetView>
  </sheetViews>
  <sheetFormatPr defaultRowHeight="14.4"/>
  <sheetData>
    <row r="2" spans="2:10" s="50" customFormat="1" ht="10.199999999999999"/>
    <row r="4" spans="2:10" s="50" customFormat="1" ht="10.199999999999999"/>
    <row r="7" spans="2:10">
      <c r="B7" s="586" t="s">
        <v>283</v>
      </c>
      <c r="C7" s="587"/>
      <c r="D7" s="587"/>
      <c r="E7" s="587"/>
      <c r="F7" s="587"/>
      <c r="G7" s="588"/>
      <c r="I7" s="49"/>
      <c r="J7" s="49"/>
    </row>
    <row r="8" spans="2:10" s="50" customFormat="1" ht="10.199999999999999">
      <c r="B8" s="52"/>
      <c r="C8" s="53"/>
      <c r="D8" s="54"/>
      <c r="E8" s="55"/>
      <c r="F8" s="55"/>
      <c r="G8" s="56"/>
      <c r="I8" s="51"/>
      <c r="J8" s="51"/>
    </row>
    <row r="9" spans="2:10" s="50" customFormat="1">
      <c r="B9" s="57"/>
      <c r="C9" s="58" t="s">
        <v>284</v>
      </c>
      <c r="D9" s="584" t="s">
        <v>329</v>
      </c>
      <c r="E9" s="584"/>
      <c r="F9" s="584"/>
      <c r="G9" s="585"/>
      <c r="H9"/>
      <c r="I9" s="49"/>
      <c r="J9" s="49"/>
    </row>
    <row r="10" spans="2:10">
      <c r="B10" s="57"/>
      <c r="C10" s="58" t="s">
        <v>285</v>
      </c>
      <c r="D10" s="584" t="s">
        <v>286</v>
      </c>
      <c r="E10" s="584"/>
      <c r="F10" s="584"/>
      <c r="G10" s="585"/>
      <c r="I10" s="49"/>
      <c r="J10" s="49"/>
    </row>
    <row r="11" spans="2:10" s="50" customFormat="1" ht="10.199999999999999">
      <c r="B11" s="61"/>
      <c r="C11" s="62"/>
      <c r="D11" s="63"/>
      <c r="E11" s="64"/>
      <c r="F11" s="64"/>
      <c r="G11" s="65"/>
      <c r="I11" s="51"/>
      <c r="J11" s="51"/>
    </row>
    <row r="12" spans="2:10">
      <c r="B12" s="52"/>
      <c r="C12" s="53"/>
      <c r="D12" s="54"/>
      <c r="E12" s="55"/>
      <c r="F12" s="55"/>
      <c r="G12" s="56"/>
      <c r="H12" s="50"/>
      <c r="I12" s="51"/>
      <c r="J12" s="51"/>
    </row>
    <row r="13" spans="2:10">
      <c r="B13" s="57"/>
      <c r="C13" s="58" t="s">
        <v>287</v>
      </c>
      <c r="D13" s="589" t="s">
        <v>288</v>
      </c>
      <c r="E13" s="589"/>
      <c r="F13" s="589"/>
      <c r="G13" s="590"/>
      <c r="I13" s="127">
        <f>MATCH(D13,INDEX(Tabela,0,1),0)</f>
        <v>1</v>
      </c>
      <c r="J13" s="49"/>
    </row>
    <row r="14" spans="2:10">
      <c r="B14" s="59"/>
      <c r="C14" s="60"/>
      <c r="D14" s="129"/>
      <c r="E14" s="130"/>
      <c r="F14" s="130"/>
      <c r="G14" s="131"/>
      <c r="H14" s="50"/>
      <c r="I14" s="51"/>
      <c r="J14" s="51"/>
    </row>
    <row r="15" spans="2:10">
      <c r="B15" s="57"/>
      <c r="C15" s="58" t="s">
        <v>289</v>
      </c>
      <c r="D15" s="589" t="s">
        <v>290</v>
      </c>
      <c r="E15" s="589"/>
      <c r="F15" s="589"/>
      <c r="G15" s="590"/>
      <c r="I15" s="127">
        <f>IF(LEFT(D15,3)="sem",2,4)</f>
        <v>2</v>
      </c>
      <c r="J15" s="127">
        <f>1+I15</f>
        <v>3</v>
      </c>
    </row>
    <row r="16" spans="2:10">
      <c r="B16" s="61"/>
      <c r="C16" s="62"/>
      <c r="D16" s="63"/>
      <c r="E16" s="64"/>
      <c r="F16" s="64"/>
      <c r="G16" s="65"/>
      <c r="H16" s="50"/>
      <c r="I16" s="128"/>
      <c r="J16" s="128"/>
    </row>
    <row r="17" spans="2:10">
      <c r="B17" s="66" t="s">
        <v>291</v>
      </c>
      <c r="C17" s="67"/>
      <c r="D17" s="68"/>
      <c r="E17" s="69" t="s">
        <v>292</v>
      </c>
      <c r="F17" s="69" t="s">
        <v>293</v>
      </c>
      <c r="G17" s="70" t="s">
        <v>294</v>
      </c>
      <c r="I17" s="127"/>
      <c r="J17" s="127"/>
    </row>
    <row r="18" spans="2:10">
      <c r="B18" s="57"/>
      <c r="C18" s="58"/>
      <c r="D18" s="71"/>
      <c r="E18" s="72"/>
      <c r="F18" s="72"/>
      <c r="G18" s="73"/>
      <c r="I18" s="127"/>
      <c r="J18" s="127"/>
    </row>
    <row r="19" spans="2:10">
      <c r="B19" s="57" t="s">
        <v>295</v>
      </c>
      <c r="C19" s="58"/>
      <c r="D19" s="71"/>
      <c r="E19" s="72">
        <v>0.03</v>
      </c>
      <c r="F19" s="72">
        <v>5.5E-2</v>
      </c>
      <c r="G19" s="132">
        <v>3.5000000000000003E-2</v>
      </c>
      <c r="I19" s="127">
        <v>6</v>
      </c>
      <c r="J19" s="127">
        <v>7</v>
      </c>
    </row>
    <row r="20" spans="2:10">
      <c r="B20" s="57"/>
      <c r="C20" s="58"/>
      <c r="D20" s="71"/>
      <c r="E20" s="72"/>
      <c r="F20" s="72"/>
      <c r="G20" s="73"/>
      <c r="I20" s="127"/>
      <c r="J20" s="127"/>
    </row>
    <row r="21" spans="2:10">
      <c r="B21" s="57" t="s">
        <v>296</v>
      </c>
      <c r="C21" s="58"/>
      <c r="D21" s="71"/>
      <c r="E21" s="72">
        <v>8.0000000000000002E-3</v>
      </c>
      <c r="F21" s="72">
        <v>0.01</v>
      </c>
      <c r="G21" s="132">
        <v>8.0000000000000002E-3</v>
      </c>
      <c r="I21" s="127">
        <v>8</v>
      </c>
      <c r="J21" s="127">
        <v>9</v>
      </c>
    </row>
    <row r="22" spans="2:10">
      <c r="B22" s="57"/>
      <c r="C22" s="58"/>
      <c r="D22" s="71"/>
      <c r="E22" s="72"/>
      <c r="F22" s="72"/>
      <c r="G22" s="133"/>
      <c r="I22" s="127"/>
      <c r="J22" s="127"/>
    </row>
    <row r="23" spans="2:10">
      <c r="B23" s="57" t="s">
        <v>297</v>
      </c>
      <c r="C23" s="58"/>
      <c r="D23" s="71"/>
      <c r="E23" s="72">
        <v>9.7000000000000003E-3</v>
      </c>
      <c r="F23" s="72">
        <v>1.2699999999999999E-2</v>
      </c>
      <c r="G23" s="132">
        <v>0.01</v>
      </c>
      <c r="I23" s="127">
        <v>10</v>
      </c>
      <c r="J23" s="127">
        <v>11</v>
      </c>
    </row>
    <row r="24" spans="2:10">
      <c r="B24" s="57"/>
      <c r="C24" s="58"/>
      <c r="D24" s="71"/>
      <c r="E24" s="72"/>
      <c r="F24" s="72"/>
      <c r="G24" s="133"/>
      <c r="I24" s="127"/>
      <c r="J24" s="127"/>
    </row>
    <row r="25" spans="2:10">
      <c r="B25" s="57" t="s">
        <v>298</v>
      </c>
      <c r="C25" s="58"/>
      <c r="D25" s="71"/>
      <c r="E25" s="72">
        <v>5.8999999999999999E-3</v>
      </c>
      <c r="F25" s="72">
        <v>1.3899999999999999E-2</v>
      </c>
      <c r="G25" s="132">
        <v>9.1000000000000004E-3</v>
      </c>
      <c r="I25" s="127">
        <v>12</v>
      </c>
      <c r="J25" s="127">
        <v>13</v>
      </c>
    </row>
    <row r="26" spans="2:10">
      <c r="B26" s="57"/>
      <c r="C26" s="58"/>
      <c r="D26" s="71"/>
      <c r="E26" s="72"/>
      <c r="F26" s="72"/>
      <c r="G26" s="133"/>
      <c r="I26" s="127"/>
      <c r="J26" s="127"/>
    </row>
    <row r="27" spans="2:10">
      <c r="B27" s="57" t="s">
        <v>299</v>
      </c>
      <c r="C27" s="58"/>
      <c r="D27" s="71"/>
      <c r="E27" s="72">
        <v>6.1600000000000002E-2</v>
      </c>
      <c r="F27" s="72">
        <v>8.9599999999999999E-2</v>
      </c>
      <c r="G27" s="132">
        <v>7.0000000000000007E-2</v>
      </c>
      <c r="I27" s="127">
        <v>14</v>
      </c>
      <c r="J27" s="127">
        <v>15</v>
      </c>
    </row>
    <row r="28" spans="2:10">
      <c r="B28" s="57"/>
      <c r="C28" s="58"/>
      <c r="D28" s="71"/>
      <c r="E28" s="72"/>
      <c r="F28" s="72"/>
      <c r="G28" s="73"/>
      <c r="I28" s="127"/>
      <c r="J28" s="127"/>
    </row>
    <row r="29" spans="2:10">
      <c r="B29" s="57" t="s">
        <v>300</v>
      </c>
      <c r="C29" s="74" t="s">
        <v>301</v>
      </c>
      <c r="D29" s="75" t="s">
        <v>302</v>
      </c>
      <c r="E29" s="72"/>
      <c r="F29" s="72"/>
      <c r="G29" s="73">
        <f>SUM(F29:F32)</f>
        <v>5.6500000000000002E-2</v>
      </c>
      <c r="I29" s="49"/>
      <c r="J29" s="49"/>
    </row>
    <row r="30" spans="2:10">
      <c r="B30" s="76" t="s">
        <v>303</v>
      </c>
      <c r="C30" s="134">
        <v>0.4</v>
      </c>
      <c r="D30" s="135">
        <v>0.05</v>
      </c>
      <c r="E30" s="72"/>
      <c r="F30" s="72">
        <f>PRODUCT(C30:D30)*(LEFT(D13,3)&lt;&gt;"mat")</f>
        <v>2.0000000000000004E-2</v>
      </c>
      <c r="G30" s="73"/>
      <c r="I30" s="49"/>
      <c r="J30" s="49"/>
    </row>
    <row r="31" spans="2:10">
      <c r="B31" s="76" t="s">
        <v>304</v>
      </c>
      <c r="C31" s="136"/>
      <c r="D31" s="135">
        <v>3.6499999999999998E-2</v>
      </c>
      <c r="E31" s="72"/>
      <c r="F31" s="72">
        <f>PRODUCT(C31:D31)</f>
        <v>3.6499999999999998E-2</v>
      </c>
      <c r="G31" s="73"/>
      <c r="I31" s="49"/>
      <c r="J31" s="49"/>
    </row>
    <row r="32" spans="2:10">
      <c r="B32" s="76" t="s">
        <v>305</v>
      </c>
      <c r="C32" s="77"/>
      <c r="D32" s="78">
        <f>IF(I15=4,2%,0)</f>
        <v>0</v>
      </c>
      <c r="E32" s="72"/>
      <c r="F32" s="72">
        <f>PRODUCT(C32:D32)</f>
        <v>0</v>
      </c>
      <c r="G32" s="73"/>
      <c r="I32" s="49"/>
      <c r="J32" s="49"/>
    </row>
    <row r="33" spans="2:10">
      <c r="B33" s="57"/>
      <c r="C33" s="58"/>
      <c r="D33" s="71"/>
      <c r="E33" s="72"/>
      <c r="F33" s="72"/>
      <c r="G33" s="73"/>
      <c r="I33" s="49"/>
      <c r="J33" s="49"/>
    </row>
    <row r="34" spans="2:10">
      <c r="B34" s="79" t="s">
        <v>306</v>
      </c>
      <c r="C34" s="80"/>
      <c r="D34" s="68"/>
      <c r="E34" s="69">
        <v>0.2034</v>
      </c>
      <c r="F34" s="69">
        <v>0.25</v>
      </c>
      <c r="G34" s="70">
        <f>SUM(G19:G23,1)*SUM(G25,1)*SUM(G27,1)/-SUM(G29,-1)-1</f>
        <v>0.20504828934817176</v>
      </c>
      <c r="I34" s="49"/>
      <c r="J34" s="49"/>
    </row>
    <row r="35" spans="2:10">
      <c r="B35" s="81"/>
      <c r="C35" s="82"/>
      <c r="D35" s="83"/>
      <c r="E35" s="84"/>
      <c r="F35" s="84"/>
      <c r="G35" s="85"/>
      <c r="I35" s="49"/>
      <c r="J35" s="49"/>
    </row>
    <row r="36" spans="2:10">
      <c r="B36" s="57"/>
      <c r="C36" s="86" t="s">
        <v>307</v>
      </c>
      <c r="D36" s="87"/>
      <c r="E36" s="88"/>
      <c r="F36" s="88"/>
      <c r="G36" s="89"/>
      <c r="I36" s="49"/>
      <c r="J36" s="49"/>
    </row>
    <row r="37" spans="2:10">
      <c r="B37" s="90"/>
      <c r="C37" s="91"/>
      <c r="D37" s="92"/>
      <c r="E37" s="93"/>
      <c r="F37" s="93"/>
      <c r="G37" s="94"/>
      <c r="I37" s="49"/>
      <c r="J37" s="49"/>
    </row>
    <row r="38" spans="2:10">
      <c r="B38" s="95"/>
      <c r="C38" s="77"/>
      <c r="D38" s="96"/>
      <c r="E38" s="97"/>
      <c r="F38" s="97"/>
      <c r="G38" s="97"/>
      <c r="I38" s="49"/>
      <c r="J38" s="49"/>
    </row>
    <row r="39" spans="2:10">
      <c r="B39" s="95"/>
      <c r="C39" s="77"/>
      <c r="D39" s="96"/>
      <c r="E39" s="97"/>
      <c r="F39" s="97"/>
      <c r="G39" s="97"/>
      <c r="I39" s="49"/>
      <c r="J39" s="49"/>
    </row>
    <row r="40" spans="2:10">
      <c r="B40" s="95"/>
      <c r="C40" s="77"/>
      <c r="D40" s="96"/>
      <c r="E40" s="97"/>
      <c r="F40" s="97"/>
      <c r="G40" s="97"/>
      <c r="I40" s="49"/>
      <c r="J40" s="49"/>
    </row>
    <row r="41" spans="2:10" s="50" customFormat="1">
      <c r="B41" s="591" t="s">
        <v>1004</v>
      </c>
      <c r="C41" s="591"/>
      <c r="D41" s="591"/>
      <c r="E41" s="591"/>
      <c r="F41" s="97"/>
      <c r="G41" s="97"/>
      <c r="H41"/>
      <c r="I41" s="49"/>
      <c r="J41" s="49"/>
    </row>
    <row r="42" spans="2:10">
      <c r="B42" s="581"/>
      <c r="C42" s="581"/>
      <c r="D42" s="581"/>
      <c r="E42" s="581"/>
      <c r="F42" s="97"/>
      <c r="G42" s="97"/>
      <c r="I42" s="49"/>
      <c r="J42" s="49"/>
    </row>
    <row r="43" spans="2:10">
      <c r="B43" s="95"/>
      <c r="C43" s="77"/>
      <c r="D43" s="96"/>
      <c r="E43" s="97"/>
      <c r="G43" s="97"/>
      <c r="I43" s="49"/>
      <c r="J43" s="49"/>
    </row>
    <row r="44" spans="2:10">
      <c r="B44" s="95"/>
      <c r="C44" s="77"/>
      <c r="D44" s="96"/>
      <c r="E44" s="97"/>
      <c r="F44" s="97"/>
      <c r="G44" s="97"/>
      <c r="I44" s="49"/>
      <c r="J44" s="49"/>
    </row>
    <row r="45" spans="2:10">
      <c r="B45" s="95"/>
      <c r="C45" s="77"/>
      <c r="D45" s="582"/>
      <c r="E45" s="582"/>
      <c r="F45" s="582"/>
      <c r="G45" s="582"/>
      <c r="I45" s="49"/>
      <c r="J45" s="49"/>
    </row>
    <row r="46" spans="2:10">
      <c r="B46" s="125"/>
      <c r="C46" s="126"/>
      <c r="D46" s="583" t="s">
        <v>308</v>
      </c>
      <c r="E46" s="583"/>
      <c r="F46" s="583"/>
      <c r="G46" s="583"/>
      <c r="H46" s="50"/>
      <c r="I46" s="51"/>
      <c r="J46" s="51"/>
    </row>
  </sheetData>
  <mergeCells count="9">
    <mergeCell ref="B42:E42"/>
    <mergeCell ref="D45:G45"/>
    <mergeCell ref="D46:G46"/>
    <mergeCell ref="D10:G10"/>
    <mergeCell ref="B7:G7"/>
    <mergeCell ref="D9:G9"/>
    <mergeCell ref="D13:G13"/>
    <mergeCell ref="D15:G15"/>
    <mergeCell ref="B41:E41"/>
  </mergeCells>
  <conditionalFormatting sqref="B41:E41">
    <cfRule type="expression" dxfId="5" priority="1" stopIfTrue="1">
      <formula>TRIM(B41)=""</formula>
    </cfRule>
  </conditionalFormatting>
  <conditionalFormatting sqref="E18:E28 E30:E34">
    <cfRule type="expression" dxfId="4" priority="5" stopIfTrue="1">
      <formula>E18&gt;G18</formula>
    </cfRule>
  </conditionalFormatting>
  <conditionalFormatting sqref="F18:F28 F30:F34">
    <cfRule type="expression" dxfId="3" priority="4" stopIfTrue="1">
      <formula>F18&lt;G18</formula>
    </cfRule>
  </conditionalFormatting>
  <conditionalFormatting sqref="G19 G21 G23 G25 G27 D31:D32 C30:D30">
    <cfRule type="expression" dxfId="2" priority="3" stopIfTrue="1">
      <formula>ISNUMBER(C19)=FALSE</formula>
    </cfRule>
  </conditionalFormatting>
  <conditionalFormatting sqref="D9:G10 D13:G13 D15:G15">
    <cfRule type="expression" dxfId="1" priority="2" stopIfTrue="1">
      <formula>TRIM(D9)=""</formula>
    </cfRule>
  </conditionalFormatting>
  <conditionalFormatting sqref="G18:G28 G33:G34">
    <cfRule type="cellIs" dxfId="0" priority="6" stopIfTrue="1" operator="notBetween">
      <formula>#REF!</formula>
      <formula>#REF!</formula>
    </cfRule>
  </conditionalFormatting>
  <dataValidations disablePrompts="1" count="2">
    <dataValidation type="list" allowBlank="1" showInputMessage="1" showErrorMessage="1" errorTitle="Desoneração" error="Escolha uma das opções válidas" sqref="WUP10:WUS10 ID10:IG10 RZ10:SC10 ABV10:ABY10 ALR10:ALU10 AVN10:AVQ10 BFJ10:BFM10 BPF10:BPI10 BZB10:BZE10 CIX10:CJA10 CST10:CSW10 DCP10:DCS10 DML10:DMO10 DWH10:DWK10 EGD10:EGG10 EPZ10:EQC10 EZV10:EZY10 FJR10:FJU10 FTN10:FTQ10 GDJ10:GDM10 GNF10:GNI10 GXB10:GXE10 HGX10:HHA10 HQT10:HQW10 IAP10:IAS10 IKL10:IKO10 IUH10:IUK10 JED10:JEG10 JNZ10:JOC10 JXV10:JXY10 KHR10:KHU10 KRN10:KRQ10 LBJ10:LBM10 LLF10:LLI10 LVB10:LVE10 MEX10:MFA10 MOT10:MOW10 MYP10:MYS10 NIL10:NIO10 NSH10:NSK10 OCD10:OCG10 OLZ10:OMC10 OVV10:OVY10 PFR10:PFU10 PPN10:PPQ10 PZJ10:PZM10 QJF10:QJI10 QTB10:QTE10 RCX10:RDA10 RMT10:RMW10 RWP10:RWS10 SGL10:SGO10 SQH10:SQK10 TAD10:TAG10 TJZ10:TKC10 TTV10:TTY10 UDR10:UDU10 UNN10:UNQ10 UXJ10:UXM10 VHF10:VHI10 VRB10:VRE10 WAX10:WBA10 WKT10:WKW10 D15:G15" xr:uid="{00000000-0002-0000-0400-000000000000}">
      <formula1>"Com desoneração (CPRB=2%),SEM desoneração (CPFS=20%)"</formula1>
    </dataValidation>
    <dataValidation type="list" allowBlank="1" showInputMessage="1" showErrorMessage="1" errorTitle="Tipologia" error="Escolha uma das opções válidas" sqref="D13:G13" xr:uid="{00000000-0002-0000-0400-000001000000}">
      <formula1>INDEX(Tabela,0,1)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R17"/>
  <sheetViews>
    <sheetView workbookViewId="0">
      <selection activeCell="L28" sqref="L28"/>
    </sheetView>
  </sheetViews>
  <sheetFormatPr defaultRowHeight="14.4"/>
  <cols>
    <col min="2" max="2" width="49.33203125" customWidth="1"/>
  </cols>
  <sheetData>
    <row r="1" spans="2:18" s="98" customFormat="1" ht="13.2"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</row>
    <row r="2" spans="2:18" s="98" customFormat="1" ht="15.6">
      <c r="B2" s="100" t="s">
        <v>309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3" spans="2:18" s="98" customFormat="1" ht="13.2"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</row>
    <row r="4" spans="2:18" s="98" customFormat="1" ht="13.2"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</row>
    <row r="5" spans="2:18" s="98" customFormat="1" ht="13.2">
      <c r="B5" s="593" t="s">
        <v>310</v>
      </c>
      <c r="C5" s="596" t="s">
        <v>311</v>
      </c>
      <c r="D5" s="596"/>
      <c r="E5" s="597" t="s">
        <v>311</v>
      </c>
      <c r="F5" s="597"/>
      <c r="G5" s="598" t="s">
        <v>312</v>
      </c>
      <c r="H5" s="598"/>
      <c r="I5" s="598"/>
      <c r="J5" s="598"/>
      <c r="K5" s="598"/>
      <c r="L5" s="598"/>
      <c r="M5" s="598"/>
      <c r="N5" s="598"/>
      <c r="O5" s="598"/>
      <c r="P5" s="598"/>
      <c r="Q5" s="598"/>
      <c r="R5" s="598"/>
    </row>
    <row r="6" spans="2:18" s="98" customFormat="1" ht="13.2">
      <c r="B6" s="594"/>
      <c r="C6" s="599" t="s">
        <v>313</v>
      </c>
      <c r="D6" s="599"/>
      <c r="E6" s="600" t="s">
        <v>314</v>
      </c>
      <c r="F6" s="600"/>
      <c r="G6" s="592" t="s">
        <v>315</v>
      </c>
      <c r="H6" s="592"/>
      <c r="I6" s="592" t="s">
        <v>296</v>
      </c>
      <c r="J6" s="592"/>
      <c r="K6" s="592" t="s">
        <v>297</v>
      </c>
      <c r="L6" s="592"/>
      <c r="M6" s="592" t="s">
        <v>316</v>
      </c>
      <c r="N6" s="592"/>
      <c r="O6" s="592" t="s">
        <v>299</v>
      </c>
      <c r="P6" s="592"/>
      <c r="Q6" s="592" t="s">
        <v>300</v>
      </c>
      <c r="R6" s="592"/>
    </row>
    <row r="7" spans="2:18" s="98" customFormat="1" ht="13.8" thickBot="1">
      <c r="B7" s="595"/>
      <c r="C7" s="119" t="s">
        <v>317</v>
      </c>
      <c r="D7" s="120" t="s">
        <v>318</v>
      </c>
      <c r="E7" s="119" t="s">
        <v>317</v>
      </c>
      <c r="F7" s="120" t="s">
        <v>318</v>
      </c>
      <c r="G7" s="102" t="s">
        <v>317</v>
      </c>
      <c r="H7" s="103" t="s">
        <v>318</v>
      </c>
      <c r="I7" s="102" t="s">
        <v>317</v>
      </c>
      <c r="J7" s="103" t="s">
        <v>318</v>
      </c>
      <c r="K7" s="102" t="s">
        <v>317</v>
      </c>
      <c r="L7" s="103" t="s">
        <v>318</v>
      </c>
      <c r="M7" s="102" t="s">
        <v>317</v>
      </c>
      <c r="N7" s="103" t="s">
        <v>318</v>
      </c>
      <c r="O7" s="102" t="s">
        <v>317</v>
      </c>
      <c r="P7" s="103" t="s">
        <v>318</v>
      </c>
      <c r="Q7" s="104" t="s">
        <v>300</v>
      </c>
      <c r="R7" s="104" t="s">
        <v>305</v>
      </c>
    </row>
    <row r="8" spans="2:18" s="105" customFormat="1" ht="21.75" customHeight="1" thickTop="1">
      <c r="B8" s="123" t="s">
        <v>288</v>
      </c>
      <c r="C8" s="121">
        <v>0.2034</v>
      </c>
      <c r="D8" s="122">
        <v>0.25</v>
      </c>
      <c r="E8" s="121">
        <v>0.22339999999999999</v>
      </c>
      <c r="F8" s="122">
        <v>0.27229999999999999</v>
      </c>
      <c r="G8" s="121">
        <v>0.03</v>
      </c>
      <c r="H8" s="122">
        <v>5.5E-2</v>
      </c>
      <c r="I8" s="121">
        <v>8.0000000000000002E-3</v>
      </c>
      <c r="J8" s="122">
        <v>0.01</v>
      </c>
      <c r="K8" s="121">
        <v>9.7000000000000003E-3</v>
      </c>
      <c r="L8" s="122">
        <v>1.2699999999999999E-2</v>
      </c>
      <c r="M8" s="121">
        <v>5.8999999999999999E-3</v>
      </c>
      <c r="N8" s="122">
        <v>1.3899999999999999E-2</v>
      </c>
      <c r="O8" s="121">
        <v>6.1600000000000002E-2</v>
      </c>
      <c r="P8" s="122">
        <v>8.9599999999999999E-2</v>
      </c>
      <c r="Q8" s="124" t="s">
        <v>319</v>
      </c>
      <c r="R8" s="124" t="s">
        <v>320</v>
      </c>
    </row>
    <row r="9" spans="2:18" s="105" customFormat="1" ht="21.75" customHeight="1">
      <c r="B9" s="106" t="s">
        <v>321</v>
      </c>
      <c r="C9" s="107">
        <v>0.19600000000000001</v>
      </c>
      <c r="D9" s="108">
        <v>0.24229999999999999</v>
      </c>
      <c r="E9" s="107">
        <v>0.216</v>
      </c>
      <c r="F9" s="108">
        <v>0.2646</v>
      </c>
      <c r="G9" s="107">
        <v>3.7999999999999999E-2</v>
      </c>
      <c r="H9" s="108">
        <v>4.6699999999999998E-2</v>
      </c>
      <c r="I9" s="107">
        <v>3.2000000000000002E-3</v>
      </c>
      <c r="J9" s="108">
        <v>7.4000000000000003E-3</v>
      </c>
      <c r="K9" s="107">
        <v>5.0000000000000001E-3</v>
      </c>
      <c r="L9" s="108">
        <v>9.7000000000000003E-3</v>
      </c>
      <c r="M9" s="107">
        <v>1.0200000000000001E-2</v>
      </c>
      <c r="N9" s="108">
        <v>1.21E-2</v>
      </c>
      <c r="O9" s="107">
        <v>6.6400000000000001E-2</v>
      </c>
      <c r="P9" s="108">
        <v>8.6900000000000005E-2</v>
      </c>
      <c r="Q9" s="109" t="s">
        <v>319</v>
      </c>
      <c r="R9" s="109" t="s">
        <v>320</v>
      </c>
    </row>
    <row r="10" spans="2:18" s="105" customFormat="1" ht="21.75" customHeight="1">
      <c r="B10" s="106" t="s">
        <v>322</v>
      </c>
      <c r="C10" s="107">
        <v>0.20760000000000001</v>
      </c>
      <c r="D10" s="108">
        <v>0.26440000000000002</v>
      </c>
      <c r="E10" s="107">
        <v>0.2276</v>
      </c>
      <c r="F10" s="108">
        <v>0.28670000000000001</v>
      </c>
      <c r="G10" s="107">
        <v>3.4299999999999997E-2</v>
      </c>
      <c r="H10" s="108">
        <v>6.7100000000000007E-2</v>
      </c>
      <c r="I10" s="107">
        <v>2.8E-3</v>
      </c>
      <c r="J10" s="108">
        <v>7.4999999999999997E-3</v>
      </c>
      <c r="K10" s="107">
        <v>0.01</v>
      </c>
      <c r="L10" s="108">
        <v>1.7399999999999999E-2</v>
      </c>
      <c r="M10" s="107">
        <v>9.4000000000000004E-3</v>
      </c>
      <c r="N10" s="108">
        <v>1.17E-2</v>
      </c>
      <c r="O10" s="107">
        <v>6.7400000000000002E-2</v>
      </c>
      <c r="P10" s="108">
        <v>9.4E-2</v>
      </c>
      <c r="Q10" s="109" t="s">
        <v>319</v>
      </c>
      <c r="R10" s="109" t="s">
        <v>320</v>
      </c>
    </row>
    <row r="11" spans="2:18" s="105" customFormat="1" ht="21.75" customHeight="1">
      <c r="B11" s="106" t="s">
        <v>323</v>
      </c>
      <c r="C11" s="107">
        <v>0.24</v>
      </c>
      <c r="D11" s="108">
        <v>0.27860000000000001</v>
      </c>
      <c r="E11" s="107">
        <v>0.26</v>
      </c>
      <c r="F11" s="108">
        <v>0.3009</v>
      </c>
      <c r="G11" s="107">
        <v>5.2900000000000003E-2</v>
      </c>
      <c r="H11" s="108">
        <v>7.9299999999999995E-2</v>
      </c>
      <c r="I11" s="107">
        <v>2.5000000000000001E-3</v>
      </c>
      <c r="J11" s="108">
        <v>5.5999999999999999E-3</v>
      </c>
      <c r="K11" s="107">
        <v>0.01</v>
      </c>
      <c r="L11" s="108">
        <v>1.9699999999999999E-2</v>
      </c>
      <c r="M11" s="107">
        <v>1.01E-2</v>
      </c>
      <c r="N11" s="108">
        <v>1.11E-2</v>
      </c>
      <c r="O11" s="107">
        <v>0.08</v>
      </c>
      <c r="P11" s="108">
        <v>9.5100000000000004E-2</v>
      </c>
      <c r="Q11" s="109" t="s">
        <v>319</v>
      </c>
      <c r="R11" s="109" t="s">
        <v>320</v>
      </c>
    </row>
    <row r="12" spans="2:18" s="105" customFormat="1" ht="21.75" customHeight="1">
      <c r="B12" s="106" t="s">
        <v>324</v>
      </c>
      <c r="C12" s="107">
        <v>0.22800000000000001</v>
      </c>
      <c r="D12" s="108">
        <v>0.3095</v>
      </c>
      <c r="E12" s="107">
        <v>0.248</v>
      </c>
      <c r="F12" s="108">
        <v>0.33179999999999998</v>
      </c>
      <c r="G12" s="107">
        <v>0.04</v>
      </c>
      <c r="H12" s="108">
        <v>7.85E-2</v>
      </c>
      <c r="I12" s="107">
        <v>8.0999999999999996E-3</v>
      </c>
      <c r="J12" s="108">
        <v>1.9900000000000001E-2</v>
      </c>
      <c r="K12" s="107">
        <v>1.46E-2</v>
      </c>
      <c r="L12" s="108">
        <v>3.1600000000000003E-2</v>
      </c>
      <c r="M12" s="107">
        <v>9.4000000000000004E-3</v>
      </c>
      <c r="N12" s="108">
        <v>1.3299999999999999E-2</v>
      </c>
      <c r="O12" s="107">
        <v>7.1400000000000005E-2</v>
      </c>
      <c r="P12" s="108">
        <v>0.1043</v>
      </c>
      <c r="Q12" s="109" t="s">
        <v>319</v>
      </c>
      <c r="R12" s="109" t="s">
        <v>320</v>
      </c>
    </row>
    <row r="13" spans="2:18" s="105" customFormat="1" ht="21.75" customHeight="1">
      <c r="B13" s="110" t="s">
        <v>325</v>
      </c>
      <c r="C13" s="111">
        <v>0.111</v>
      </c>
      <c r="D13" s="112">
        <v>0.16800000000000001</v>
      </c>
      <c r="E13" s="111">
        <v>0.13100000000000001</v>
      </c>
      <c r="F13" s="112">
        <v>0.188</v>
      </c>
      <c r="G13" s="111">
        <v>1.4999999999999999E-2</v>
      </c>
      <c r="H13" s="112">
        <v>4.4900000000000002E-2</v>
      </c>
      <c r="I13" s="111">
        <v>3.0000000000000001E-3</v>
      </c>
      <c r="J13" s="112">
        <v>8.2000000000000007E-3</v>
      </c>
      <c r="K13" s="111">
        <v>5.5999999999999999E-3</v>
      </c>
      <c r="L13" s="112">
        <v>8.8999999999999999E-3</v>
      </c>
      <c r="M13" s="111">
        <v>8.5000000000000006E-3</v>
      </c>
      <c r="N13" s="112">
        <v>1.11E-2</v>
      </c>
      <c r="O13" s="111">
        <v>3.5000000000000003E-2</v>
      </c>
      <c r="P13" s="112">
        <v>6.2199999999999998E-2</v>
      </c>
      <c r="Q13" s="113" t="s">
        <v>319</v>
      </c>
      <c r="R13" s="113" t="s">
        <v>320</v>
      </c>
    </row>
    <row r="14" spans="2:18" s="105" customFormat="1" ht="21.75" customHeight="1">
      <c r="B14" s="114" t="s">
        <v>326</v>
      </c>
      <c r="C14" s="115">
        <v>0.1</v>
      </c>
      <c r="D14" s="116">
        <v>0.12</v>
      </c>
      <c r="E14" s="115">
        <v>0.1</v>
      </c>
      <c r="F14" s="116">
        <v>0.12</v>
      </c>
      <c r="G14" s="115">
        <v>1.4999999999999999E-2</v>
      </c>
      <c r="H14" s="116">
        <v>4.4900000000000002E-2</v>
      </c>
      <c r="I14" s="115">
        <v>3.0000000000000001E-3</v>
      </c>
      <c r="J14" s="116">
        <v>8.2000000000000007E-3</v>
      </c>
      <c r="K14" s="115">
        <v>5.5999999999999999E-3</v>
      </c>
      <c r="L14" s="116">
        <v>8.8999999999999999E-3</v>
      </c>
      <c r="M14" s="115">
        <v>8.5000000000000006E-3</v>
      </c>
      <c r="N14" s="116">
        <v>1.11E-2</v>
      </c>
      <c r="O14" s="115">
        <v>3.5000000000000003E-2</v>
      </c>
      <c r="P14" s="116">
        <v>6.2199999999999998E-2</v>
      </c>
      <c r="Q14" s="117" t="s">
        <v>319</v>
      </c>
      <c r="R14" s="117" t="s">
        <v>320</v>
      </c>
    </row>
    <row r="15" spans="2:18" s="105" customFormat="1" ht="13.2"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</row>
    <row r="16" spans="2:18" s="105" customFormat="1" ht="13.2">
      <c r="B16" s="118" t="s">
        <v>327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</row>
    <row r="17" spans="2:18" s="105" customFormat="1" ht="13.2">
      <c r="B17" s="118" t="s">
        <v>328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</row>
  </sheetData>
  <mergeCells count="12">
    <mergeCell ref="O6:P6"/>
    <mergeCell ref="Q6:R6"/>
    <mergeCell ref="B5:B7"/>
    <mergeCell ref="C5:D5"/>
    <mergeCell ref="E5:F5"/>
    <mergeCell ref="G5:R5"/>
    <mergeCell ref="C6:D6"/>
    <mergeCell ref="E6:F6"/>
    <mergeCell ref="G6:H6"/>
    <mergeCell ref="I6:J6"/>
    <mergeCell ref="K6:L6"/>
    <mergeCell ref="M6:N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Planilha orçamento</vt:lpstr>
      <vt:lpstr>Cronograma </vt:lpstr>
      <vt:lpstr>Cotação</vt:lpstr>
      <vt:lpstr>Composição</vt:lpstr>
      <vt:lpstr>Cálculo BDI</vt:lpstr>
      <vt:lpstr>Tabelas BDI</vt:lpstr>
      <vt:lpstr>'Cálculo BDI'!Area_de_impressao</vt:lpstr>
      <vt:lpstr>Composição!Area_de_impressao</vt:lpstr>
      <vt:lpstr>Cotação!Area_de_impressao</vt:lpstr>
      <vt:lpstr>'Cronograma '!Area_de_impressao</vt:lpstr>
      <vt:lpstr>'Planilha orçamento'!Area_de_impressao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</dc:creator>
  <cp:lastModifiedBy>matil</cp:lastModifiedBy>
  <cp:lastPrinted>2020-06-05T03:03:53Z</cp:lastPrinted>
  <dcterms:created xsi:type="dcterms:W3CDTF">2015-09-18T14:32:25Z</dcterms:created>
  <dcterms:modified xsi:type="dcterms:W3CDTF">2020-06-05T03:04:23Z</dcterms:modified>
</cp:coreProperties>
</file>