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G:\Meu Drive\PROJETOS COMPARTILHADOS\2019 - PREFEITURA CAMPO ALEGRE 2\ESCOLA BATEIAS DE CIMA\"/>
    </mc:Choice>
  </mc:AlternateContent>
  <xr:revisionPtr revIDLastSave="0" documentId="13_ncr:1_{CF8C20B9-1FC9-4DB5-8C0B-686AF07783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rçamento" sheetId="3" r:id="rId1"/>
    <sheet name="Cronograma" sheetId="2" r:id="rId2"/>
    <sheet name="BDI" sheetId="4" r:id="rId3"/>
    <sheet name="Tabela" sheetId="5" r:id="rId4"/>
  </sheets>
  <externalReferences>
    <externalReference r:id="rId5"/>
  </externalReferences>
  <definedNames>
    <definedName name="_xlnm.Print_Area" localSheetId="1">Cronograma!$A$1:$J$18</definedName>
    <definedName name="_xlnm.Print_Area" localSheetId="0">Orçamento!$A$1:$H$39</definedName>
    <definedName name="Tabela">[1]Tabelas!$B$8:$R$14</definedName>
    <definedName name="Texto1" localSheetId="0">Orçamento!#REF!</definedName>
    <definedName name="Texto10" localSheetId="0">Orçamento!#REF!</definedName>
    <definedName name="Texto12" localSheetId="0">Orçamento!#REF!</definedName>
    <definedName name="Texto13" localSheetId="0">Orçamento!#REF!</definedName>
    <definedName name="Texto14" localSheetId="0">Orçamento!#REF!</definedName>
    <definedName name="Texto15" localSheetId="0">Orçamento!#REF!</definedName>
    <definedName name="Texto16" localSheetId="0">Orçamento!#REF!</definedName>
    <definedName name="Texto2" localSheetId="0">Orçamento!#REF!</definedName>
    <definedName name="Texto3" localSheetId="0">Orçamento!$G$2</definedName>
    <definedName name="Texto4" localSheetId="0">Orçamento!$A$3</definedName>
    <definedName name="Texto42" localSheetId="0">Orçamento!#REF!</definedName>
    <definedName name="Texto43" localSheetId="0">Orçamento!#REF!</definedName>
    <definedName name="Texto5" localSheetId="0">Orçamento!#REF!</definedName>
    <definedName name="Texto7" localSheetId="0">Orçamento!#REF!</definedName>
    <definedName name="Texto8" localSheetId="0">Orçamento!#REF!</definedName>
    <definedName name="Texto9" localSheetId="0">Orçamento!#REF!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3" l="1"/>
  <c r="E26" i="3" l="1"/>
  <c r="E31" i="3"/>
  <c r="E32" i="3"/>
  <c r="E30" i="3"/>
  <c r="B13" i="2"/>
  <c r="E21" i="3"/>
  <c r="E20" i="3" l="1"/>
  <c r="H4" i="3"/>
  <c r="F32" i="4"/>
  <c r="F31" i="4"/>
  <c r="I16" i="4"/>
  <c r="D33" i="4" s="1"/>
  <c r="F33" i="4" s="1"/>
  <c r="G30" i="4" s="1"/>
  <c r="G35" i="4" s="1"/>
  <c r="I14" i="4"/>
  <c r="F28" i="4" s="1"/>
  <c r="G21" i="3" l="1"/>
  <c r="H21" i="3" s="1"/>
  <c r="G32" i="3"/>
  <c r="H32" i="3" s="1"/>
  <c r="G30" i="3"/>
  <c r="H30" i="3" s="1"/>
  <c r="G31" i="3"/>
  <c r="H31" i="3" s="1"/>
  <c r="F20" i="4"/>
  <c r="E22" i="4"/>
  <c r="E26" i="4"/>
  <c r="J16" i="4"/>
  <c r="F35" i="4" s="1"/>
  <c r="F22" i="4"/>
  <c r="F26" i="4"/>
  <c r="E35" i="4"/>
  <c r="E20" i="4"/>
  <c r="E24" i="4"/>
  <c r="E28" i="4"/>
  <c r="F24" i="4"/>
  <c r="H33" i="3" l="1"/>
  <c r="E22" i="3"/>
  <c r="E16" i="3"/>
  <c r="I13" i="2" l="1"/>
  <c r="G13" i="2" s="1"/>
  <c r="F15" i="3"/>
  <c r="E15" i="3"/>
  <c r="I4" i="2" l="1"/>
  <c r="A4" i="2"/>
  <c r="A3" i="2"/>
  <c r="C4" i="2"/>
  <c r="C3" i="2"/>
  <c r="C2" i="2"/>
  <c r="A2" i="2"/>
  <c r="B14" i="2"/>
  <c r="B12" i="2"/>
  <c r="G26" i="3"/>
  <c r="H26" i="3" s="1"/>
  <c r="G36" i="3"/>
  <c r="G22" i="3"/>
  <c r="H27" i="3" l="1"/>
  <c r="H36" i="3"/>
  <c r="B11" i="2"/>
  <c r="B10" i="2"/>
  <c r="B9" i="2"/>
  <c r="A8" i="2"/>
  <c r="I12" i="2" l="1"/>
  <c r="G12" i="2" s="1"/>
  <c r="H39" i="3"/>
  <c r="H37" i="3"/>
  <c r="I14" i="2" l="1"/>
  <c r="G14" i="2" l="1"/>
  <c r="G20" i="3" l="1"/>
  <c r="H20" i="3" s="1"/>
  <c r="G16" i="3"/>
  <c r="G15" i="3"/>
  <c r="G14" i="3"/>
  <c r="H15" i="3" l="1"/>
  <c r="H16" i="3"/>
  <c r="H14" i="3"/>
  <c r="H17" i="3" l="1"/>
  <c r="I10" i="2" s="1"/>
  <c r="G10" i="3"/>
  <c r="H10" i="3" s="1"/>
  <c r="H11" i="3" l="1"/>
  <c r="I9" i="2" s="1"/>
  <c r="E9" i="2" l="1"/>
  <c r="E12" i="2"/>
  <c r="E10" i="2"/>
  <c r="G16" i="2"/>
  <c r="H22" i="3" l="1"/>
  <c r="H23" i="3" l="1"/>
  <c r="I11" i="2" l="1"/>
  <c r="I16" i="2" s="1"/>
  <c r="I17" i="2" s="1"/>
  <c r="J11" i="2" l="1"/>
  <c r="J13" i="2"/>
  <c r="E11" i="2"/>
  <c r="E16" i="2" s="1"/>
  <c r="F16" i="2" s="1"/>
  <c r="F17" i="2" s="1"/>
  <c r="J12" i="2"/>
  <c r="J10" i="2"/>
  <c r="J14" i="2"/>
  <c r="J9" i="2"/>
  <c r="H16" i="2"/>
  <c r="J16" i="2" l="1"/>
  <c r="E17" i="2"/>
  <c r="G17" i="2" s="1"/>
  <c r="H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Fabio</author>
  </authors>
  <commentList>
    <comment ref="F36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Fabio:</t>
        </r>
        <r>
          <rPr>
            <sz val="9"/>
            <color indexed="81"/>
            <rFont val="Segoe UI"/>
            <family val="2"/>
          </rPr>
          <t xml:space="preserve">
preço composto.
2/3 = 85010
1/3 = 94581
</t>
        </r>
      </text>
    </comment>
  </commentList>
</comments>
</file>

<file path=xl/sharedStrings.xml><?xml version="1.0" encoding="utf-8"?>
<sst xmlns="http://schemas.openxmlformats.org/spreadsheetml/2006/main" count="166" uniqueCount="114">
  <si>
    <t>1.0</t>
  </si>
  <si>
    <t>SERVIÇOS INICIAIS</t>
  </si>
  <si>
    <t>m²</t>
  </si>
  <si>
    <t>m</t>
  </si>
  <si>
    <t>m³</t>
  </si>
  <si>
    <t>ALVENARIA DE VEDAÇÃO</t>
  </si>
  <si>
    <t>Mês 01</t>
  </si>
  <si>
    <t>Mês 02</t>
  </si>
  <si>
    <t>PINTURA</t>
  </si>
  <si>
    <t>PERÍODO</t>
  </si>
  <si>
    <t>TOTAL</t>
  </si>
  <si>
    <t>R$</t>
  </si>
  <si>
    <t>%</t>
  </si>
  <si>
    <t>TOTAL NO MÊS (SIMPLES)</t>
  </si>
  <si>
    <t>TOTAL NO MÊS (ACUMULADO)</t>
  </si>
  <si>
    <t xml:space="preserve">PLANILHA DE CRONOGRAMA FÍSICO-FINANCEIRO </t>
  </si>
  <si>
    <t>ITEM</t>
  </si>
  <si>
    <t>DISCRIMINAÇÃO</t>
  </si>
  <si>
    <t>UNID.</t>
  </si>
  <si>
    <t>QUANT.</t>
  </si>
  <si>
    <t>PROJETO:</t>
  </si>
  <si>
    <t>CUSTO UNITÁRIO</t>
  </si>
  <si>
    <t>SUBTOTAL</t>
  </si>
  <si>
    <t>VALOR TOTAL C/ BDI</t>
  </si>
  <si>
    <t xml:space="preserve">CÓDIGO (SINAPI) </t>
  </si>
  <si>
    <t>1.1</t>
  </si>
  <si>
    <t>74209/001</t>
  </si>
  <si>
    <t>Placa de obra em chapa de aço galvanizado 1,0x1,5m</t>
  </si>
  <si>
    <t>PLANILHA DE ORÇAMENTO ESTIMATIVO</t>
  </si>
  <si>
    <t>VALOR TOTAL REFORMA E AMPLIAÇÃO</t>
  </si>
  <si>
    <t>PREÇO UNIT. C/ BDI</t>
  </si>
  <si>
    <t>ESQUADRIAS</t>
  </si>
  <si>
    <t>QUADRA E FECHAMENTOS COM VIDROS E ALVENARIAAS</t>
  </si>
  <si>
    <t>Impermeabilização de baldrame com tinta betuminosa</t>
  </si>
  <si>
    <t>74106/001</t>
  </si>
  <si>
    <t>BDI:</t>
  </si>
  <si>
    <t>DATA:</t>
  </si>
  <si>
    <t>LOCALIZAÇÃO:</t>
  </si>
  <si>
    <t>MUNICÍPIO</t>
  </si>
  <si>
    <t>CAMPO ALEGRE</t>
  </si>
  <si>
    <t>RESPONSÁVEL TÉCNICO</t>
  </si>
  <si>
    <t xml:space="preserve">CREA Nº </t>
  </si>
  <si>
    <t>FÁBIO HUDLER</t>
  </si>
  <si>
    <t>102.001-5</t>
  </si>
  <si>
    <t>CINTAS E PILARETES DE CONCRETO ARMADO</t>
  </si>
  <si>
    <t xml:space="preserve">Concreto Fck=20Mpa, Inclusive Lancamento E Adensamento </t>
  </si>
  <si>
    <t>6.1</t>
  </si>
  <si>
    <t>CINTAS E PILARETES DE AMRRAÇÃO EM CONCRETO ARMADO. EXECUÇÃO DE FORMAS</t>
  </si>
  <si>
    <t>93204 *</t>
  </si>
  <si>
    <t>CORTE E DOBRA DE AÇO CA-50, DIÂMETRO DE 8,0 MM, UTILIZADO EM ESTRUTURA</t>
  </si>
  <si>
    <t>kg</t>
  </si>
  <si>
    <t>ALVENARIA EM TIJOLO CERAMICO MACICO 5X10X20CM 1/2 VEZ (ESPESSURA 10CM)</t>
  </si>
  <si>
    <t>Aplicação Manual De Pintura Com Resina acrílica</t>
  </si>
  <si>
    <t>(Imprimir em papel timbrado do proponente)</t>
  </si>
  <si>
    <t>Demonstrativo de cálculo do BDI</t>
  </si>
  <si>
    <t xml:space="preserve">Nº do Contrato: </t>
  </si>
  <si>
    <t>000.000-00</t>
  </si>
  <si>
    <t xml:space="preserve">Empreendimento: </t>
  </si>
  <si>
    <t xml:space="preserve">Etapa: </t>
  </si>
  <si>
    <t>Global</t>
  </si>
  <si>
    <t xml:space="preserve">Tipologia: </t>
  </si>
  <si>
    <t>Rodovias e ferrovias</t>
  </si>
  <si>
    <t xml:space="preserve">Desoneração: </t>
  </si>
  <si>
    <t>Componente do BDI</t>
  </si>
  <si>
    <t>Mínimo</t>
  </si>
  <si>
    <t>Máximo</t>
  </si>
  <si>
    <t>Adotado</t>
  </si>
  <si>
    <t>Administração Central</t>
  </si>
  <si>
    <t>Seguro e Garantia</t>
  </si>
  <si>
    <t>Risco</t>
  </si>
  <si>
    <t>Despesas Financeiras</t>
  </si>
  <si>
    <t>Lucro</t>
  </si>
  <si>
    <t>Tributos</t>
  </si>
  <si>
    <t>incidência</t>
  </si>
  <si>
    <t>alíquota</t>
  </si>
  <si>
    <t>ISS</t>
  </si>
  <si>
    <t>PIS/Cofins</t>
  </si>
  <si>
    <t>CPRB</t>
  </si>
  <si>
    <t xml:space="preserve">Fórmula adotada: </t>
  </si>
  <si>
    <t>(Local e data)</t>
  </si>
  <si>
    <t>Responsável técnico pelo orçamento (sob carimbo)</t>
  </si>
  <si>
    <t>Valores de referência para o cálculo do BDI - Acórdão 2622/2013/TCU/Plenário</t>
  </si>
  <si>
    <t>Tipo de obra</t>
  </si>
  <si>
    <t>BDI</t>
  </si>
  <si>
    <t>Componentes do BDI (valores mínimo e máximo)</t>
  </si>
  <si>
    <t>sem desoneração</t>
  </si>
  <si>
    <t>com desoneração</t>
  </si>
  <si>
    <t>Admin. Central</t>
  </si>
  <si>
    <t>Despesas Financ.</t>
  </si>
  <si>
    <t>mínimo</t>
  </si>
  <si>
    <t>máximo</t>
  </si>
  <si>
    <t xml:space="preserve">Construção de edifícios </t>
  </si>
  <si>
    <t>(*)</t>
  </si>
  <si>
    <t>0 ou 2%</t>
  </si>
  <si>
    <t>Estações e redes de água e esgoto</t>
  </si>
  <si>
    <t>Estações e redes de energia elétrica</t>
  </si>
  <si>
    <t>Portuárias, marítimas e fluviais</t>
  </si>
  <si>
    <t>Materiais e equipamentos (instalados)</t>
  </si>
  <si>
    <t>Materiais e equipamentos (antecipado)</t>
  </si>
  <si>
    <t>(1) Limites com desoneração considerando um impacto de 2,23 p.p. devido à CPRB.</t>
  </si>
  <si>
    <t>(2) Tributos conforme legislação municipal (PIS, COFINS, ISS e contribuição previdenciária CPRB).</t>
  </si>
  <si>
    <t>Com desoneração (CPRB=2%)</t>
  </si>
  <si>
    <t>Reforma da Escola Paulo Fuckner</t>
  </si>
  <si>
    <t>Rodovia 020</t>
  </si>
  <si>
    <t>Sinapi referencia: NOVEMBRO/2019</t>
  </si>
  <si>
    <t>ESCOLA PAULO FUCKNER</t>
  </si>
  <si>
    <t>17/02/2020</t>
  </si>
  <si>
    <t>COBOGO CERAMICO (ELEMENTO VAZADO), 9X20X20CM, ASSENTADO COM ARGAMASSA</t>
  </si>
  <si>
    <t>FECHAMENTOS LATERAIS</t>
  </si>
  <si>
    <t>TRAMA DE AÇO COMPOSTA POR TERÇAS PARA TELHADOS / FECHAMENTOS LATERAIS</t>
  </si>
  <si>
    <t>TELHAMENTO COM TELHA DE AÇO/ALUMÍNIO E = 0,5 MM PRÉ-PINTADA</t>
  </si>
  <si>
    <t>SEINFRA/CE 2449</t>
  </si>
  <si>
    <t xml:space="preserve">TELHAMENTO COM TRANSPARENTE </t>
  </si>
  <si>
    <t>Portão em chapa galvanizada de abrir (260 x 300) - 2 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</si>
</sst>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&quot;R$ &quot;#,##0.00"/>
    <numFmt numFmtId="167" formatCode="&quot;R$&quot;\ #,##0.00"/>
    <numFmt numFmtId="168" formatCode="0.0%"/>
    <numFmt numFmtId="169" formatCode="#,##0.00_ ;\-#,##0.00\ "/>
    <numFmt numFmtId="170" formatCode="&quot;R$&quot;#,##0.00"/>
    <numFmt numFmtId="171" formatCode="0.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6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2"/>
      <name val="Arial"/>
      <family val="2"/>
    </font>
    <font>
      <i/>
      <sz val="11"/>
      <color indexed="10"/>
      <name val="Calibri"/>
      <family val="2"/>
    </font>
    <font>
      <sz val="11"/>
      <color indexed="5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indexed="51"/>
      <name val="Calibri"/>
      <family val="2"/>
    </font>
    <font>
      <i/>
      <sz val="8"/>
      <color indexed="32"/>
      <name val="Calibri"/>
      <family val="2"/>
    </font>
    <font>
      <i/>
      <sz val="8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7" fillId="0" borderId="0"/>
    <xf numFmtId="0" fontId="19" fillId="0" borderId="0"/>
    <xf numFmtId="9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7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Border="1"/>
    <xf numFmtId="49" fontId="6" fillId="0" borderId="0" xfId="0" applyNumberFormat="1" applyFont="1" applyBorder="1" applyAlignment="1">
      <alignment horizontal="center" vertical="center" wrapText="1"/>
    </xf>
    <xf numFmtId="0" fontId="12" fillId="0" borderId="0" xfId="0" applyFont="1"/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2" fontId="11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164" fontId="7" fillId="4" borderId="1" xfId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justify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66" fontId="12" fillId="2" borderId="11" xfId="0" applyNumberFormat="1" applyFont="1" applyFill="1" applyBorder="1" applyAlignment="1">
      <alignment horizontal="center" vertical="center" wrapText="1"/>
    </xf>
    <xf numFmtId="164" fontId="7" fillId="0" borderId="12" xfId="1" applyFont="1" applyFill="1" applyBorder="1" applyAlignment="1">
      <alignment horizontal="center" vertical="center"/>
    </xf>
    <xf numFmtId="167" fontId="7" fillId="0" borderId="12" xfId="0" applyNumberFormat="1" applyFont="1" applyFill="1" applyBorder="1" applyAlignment="1">
      <alignment horizontal="center" vertical="center" wrapText="1"/>
    </xf>
    <xf numFmtId="164" fontId="7" fillId="0" borderId="12" xfId="1" applyFont="1" applyFill="1" applyBorder="1" applyAlignment="1" applyProtection="1">
      <alignment horizontal="center" vertical="center"/>
    </xf>
    <xf numFmtId="167" fontId="7" fillId="4" borderId="8" xfId="0" applyNumberFormat="1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166" fontId="20" fillId="5" borderId="24" xfId="0" applyNumberFormat="1" applyFont="1" applyFill="1" applyBorder="1" applyAlignment="1">
      <alignment horizontal="center" vertical="center" wrapText="1"/>
    </xf>
    <xf numFmtId="10" fontId="10" fillId="2" borderId="2" xfId="6" applyNumberFormat="1" applyFont="1" applyFill="1" applyBorder="1" applyAlignment="1">
      <alignment horizontal="center" vertical="center" wrapText="1"/>
    </xf>
    <xf numFmtId="39" fontId="10" fillId="2" borderId="1" xfId="6" applyNumberFormat="1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Border="1"/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169" fontId="0" fillId="0" borderId="0" xfId="0" applyNumberFormat="1" applyBorder="1"/>
    <xf numFmtId="164" fontId="7" fillId="4" borderId="1" xfId="1" applyFont="1" applyFill="1" applyBorder="1" applyAlignment="1" applyProtection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2" fontId="2" fillId="4" borderId="1" xfId="0" applyNumberFormat="1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/>
    </xf>
    <xf numFmtId="164" fontId="7" fillId="0" borderId="13" xfId="1" applyFont="1" applyFill="1" applyBorder="1" applyAlignment="1">
      <alignment horizontal="center" vertical="center"/>
    </xf>
    <xf numFmtId="167" fontId="7" fillId="0" borderId="13" xfId="0" applyNumberFormat="1" applyFont="1" applyFill="1" applyBorder="1" applyAlignment="1">
      <alignment horizontal="center" vertical="center" wrapText="1"/>
    </xf>
    <xf numFmtId="170" fontId="7" fillId="0" borderId="0" xfId="0" applyNumberFormat="1" applyFont="1" applyAlignment="1">
      <alignment vertical="center"/>
    </xf>
    <xf numFmtId="164" fontId="2" fillId="4" borderId="8" xfId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4" borderId="1" xfId="6" applyNumberFormat="1" applyFont="1" applyFill="1" applyBorder="1" applyAlignment="1">
      <alignment horizontal="center" vertical="center"/>
    </xf>
    <xf numFmtId="2" fontId="7" fillId="0" borderId="9" xfId="6" applyNumberFormat="1" applyFont="1" applyFill="1" applyBorder="1" applyAlignment="1">
      <alignment horizontal="center" vertical="center"/>
    </xf>
    <xf numFmtId="2" fontId="7" fillId="0" borderId="1" xfId="6" applyNumberFormat="1" applyFont="1" applyFill="1" applyBorder="1" applyAlignment="1">
      <alignment horizontal="center" vertical="center"/>
    </xf>
    <xf numFmtId="2" fontId="7" fillId="4" borderId="9" xfId="6" applyNumberFormat="1" applyFont="1" applyFill="1" applyBorder="1" applyAlignment="1">
      <alignment horizontal="center" vertical="center"/>
    </xf>
    <xf numFmtId="2" fontId="7" fillId="0" borderId="13" xfId="6" applyNumberFormat="1" applyFont="1" applyFill="1" applyBorder="1" applyAlignment="1">
      <alignment horizontal="center" vertical="center"/>
    </xf>
    <xf numFmtId="2" fontId="12" fillId="4" borderId="26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9" fontId="10" fillId="7" borderId="1" xfId="6" applyNumberFormat="1" applyFont="1" applyFill="1" applyBorder="1" applyAlignment="1">
      <alignment horizontal="center" vertical="center" wrapText="1"/>
    </xf>
    <xf numFmtId="9" fontId="10" fillId="0" borderId="1" xfId="6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1" fontId="11" fillId="4" borderId="1" xfId="1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>
      <alignment horizontal="center" vertical="center"/>
    </xf>
    <xf numFmtId="1" fontId="11" fillId="2" borderId="1" xfId="1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8" fontId="18" fillId="0" borderId="1" xfId="4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2" fontId="12" fillId="2" borderId="3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/>
    </xf>
    <xf numFmtId="166" fontId="7" fillId="0" borderId="31" xfId="0" applyNumberFormat="1" applyFont="1" applyFill="1" applyBorder="1" applyAlignment="1">
      <alignment horizontal="center" vertical="center" wrapText="1"/>
    </xf>
    <xf numFmtId="166" fontId="7" fillId="0" borderId="32" xfId="0" applyNumberFormat="1" applyFont="1" applyFill="1" applyBorder="1" applyAlignment="1">
      <alignment horizontal="center" vertical="center" wrapText="1"/>
    </xf>
    <xf numFmtId="2" fontId="7" fillId="4" borderId="3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66" fontId="7" fillId="4" borderId="31" xfId="0" applyNumberFormat="1" applyFont="1" applyFill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/>
    </xf>
    <xf numFmtId="171" fontId="12" fillId="2" borderId="3" xfId="0" applyNumberFormat="1" applyFont="1" applyFill="1" applyBorder="1" applyAlignment="1">
      <alignment horizontal="center" vertical="center"/>
    </xf>
    <xf numFmtId="171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2" fontId="7" fillId="0" borderId="33" xfId="0" applyNumberFormat="1" applyFont="1" applyFill="1" applyBorder="1" applyAlignment="1">
      <alignment horizontal="center" vertical="center"/>
    </xf>
    <xf numFmtId="166" fontId="7" fillId="0" borderId="5" xfId="0" applyNumberFormat="1" applyFont="1" applyFill="1" applyBorder="1" applyAlignment="1">
      <alignment horizontal="center" vertical="center" wrapText="1"/>
    </xf>
    <xf numFmtId="166" fontId="16" fillId="4" borderId="26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14" fontId="18" fillId="0" borderId="2" xfId="4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vertical="top" wrapText="1"/>
    </xf>
    <xf numFmtId="164" fontId="10" fillId="2" borderId="1" xfId="1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vertical="top" wrapText="1"/>
    </xf>
    <xf numFmtId="10" fontId="10" fillId="2" borderId="2" xfId="6" applyNumberFormat="1" applyFont="1" applyFill="1" applyBorder="1" applyAlignment="1">
      <alignment horizontal="center" wrapText="1"/>
    </xf>
    <xf numFmtId="44" fontId="10" fillId="7" borderId="1" xfId="6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4" fontId="10" fillId="0" borderId="1" xfId="6" applyNumberFormat="1" applyFont="1" applyBorder="1" applyAlignment="1">
      <alignment horizontal="center" vertical="center" wrapText="1"/>
    </xf>
    <xf numFmtId="164" fontId="10" fillId="6" borderId="1" xfId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171" fontId="2" fillId="4" borderId="3" xfId="0" applyNumberFormat="1" applyFont="1" applyFill="1" applyBorder="1" applyAlignment="1">
      <alignment horizontal="center" vertical="center"/>
    </xf>
    <xf numFmtId="171" fontId="2" fillId="0" borderId="3" xfId="1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6" fillId="0" borderId="0" xfId="0" applyFont="1" applyProtection="1">
      <protection locked="0"/>
    </xf>
    <xf numFmtId="9" fontId="1" fillId="0" borderId="0" xfId="4" applyFont="1" applyAlignment="1" applyProtection="1">
      <alignment horizontal="right"/>
      <protection locked="0"/>
    </xf>
    <xf numFmtId="10" fontId="1" fillId="0" borderId="0" xfId="4" applyNumberFormat="1" applyFont="1" applyProtection="1">
      <protection locked="0"/>
    </xf>
    <xf numFmtId="10" fontId="0" fillId="0" borderId="0" xfId="0" applyNumberFormat="1" applyAlignment="1" applyProtection="1">
      <alignment horizontal="center"/>
      <protection locked="0"/>
    </xf>
    <xf numFmtId="0" fontId="26" fillId="0" borderId="0" xfId="0" applyFont="1"/>
    <xf numFmtId="0" fontId="29" fillId="0" borderId="35" xfId="0" applyFont="1" applyBorder="1"/>
    <xf numFmtId="9" fontId="29" fillId="0" borderId="36" xfId="4" applyFont="1" applyBorder="1" applyAlignment="1">
      <alignment horizontal="right"/>
    </xf>
    <xf numFmtId="10" fontId="29" fillId="0" borderId="36" xfId="4" applyNumberFormat="1" applyFont="1" applyBorder="1"/>
    <xf numFmtId="10" fontId="29" fillId="0" borderId="36" xfId="0" applyNumberFormat="1" applyFont="1" applyBorder="1" applyAlignment="1">
      <alignment horizontal="center"/>
    </xf>
    <xf numFmtId="10" fontId="29" fillId="0" borderId="37" xfId="0" applyNumberFormat="1" applyFont="1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0" fillId="0" borderId="38" xfId="0" applyBorder="1"/>
    <xf numFmtId="9" fontId="1" fillId="0" borderId="0" xfId="4" applyFont="1" applyBorder="1" applyAlignment="1">
      <alignment horizontal="right"/>
    </xf>
    <xf numFmtId="0" fontId="29" fillId="0" borderId="38" xfId="0" applyFont="1" applyBorder="1"/>
    <xf numFmtId="9" fontId="29" fillId="0" borderId="0" xfId="4" applyFont="1" applyBorder="1" applyAlignment="1">
      <alignment horizontal="right"/>
    </xf>
    <xf numFmtId="10" fontId="29" fillId="0" borderId="0" xfId="4" applyNumberFormat="1" applyFont="1" applyBorder="1"/>
    <xf numFmtId="10" fontId="29" fillId="0" borderId="0" xfId="0" applyNumberFormat="1" applyFont="1" applyAlignment="1">
      <alignment horizontal="center"/>
    </xf>
    <xf numFmtId="10" fontId="29" fillId="0" borderId="13" xfId="0" applyNumberFormat="1" applyFont="1" applyBorder="1" applyAlignment="1">
      <alignment horizontal="center"/>
    </xf>
    <xf numFmtId="0" fontId="29" fillId="0" borderId="29" xfId="0" applyFont="1" applyBorder="1"/>
    <xf numFmtId="9" fontId="29" fillId="0" borderId="39" xfId="4" applyFont="1" applyBorder="1" applyAlignment="1">
      <alignment horizontal="right"/>
    </xf>
    <xf numFmtId="10" fontId="29" fillId="0" borderId="39" xfId="4" applyNumberFormat="1" applyFont="1" applyBorder="1"/>
    <xf numFmtId="10" fontId="29" fillId="0" borderId="39" xfId="0" applyNumberFormat="1" applyFont="1" applyBorder="1" applyAlignment="1">
      <alignment horizontal="center"/>
    </xf>
    <xf numFmtId="10" fontId="29" fillId="0" borderId="40" xfId="0" applyNumberFormat="1" applyFont="1" applyBorder="1" applyAlignment="1">
      <alignment horizontal="center"/>
    </xf>
    <xf numFmtId="10" fontId="29" fillId="0" borderId="0" xfId="4" applyNumberFormat="1" applyFont="1" applyBorder="1" applyAlignment="1">
      <alignment horizontal="center"/>
    </xf>
    <xf numFmtId="0" fontId="29" fillId="0" borderId="13" xfId="0" applyFont="1" applyBorder="1"/>
    <xf numFmtId="0" fontId="0" fillId="2" borderId="9" xfId="0" applyFill="1" applyBorder="1"/>
    <xf numFmtId="9" fontId="1" fillId="2" borderId="19" xfId="4" applyFont="1" applyFill="1" applyBorder="1" applyAlignment="1">
      <alignment horizontal="right"/>
    </xf>
    <xf numFmtId="10" fontId="1" fillId="2" borderId="10" xfId="4" applyNumberFormat="1" applyFont="1" applyFill="1" applyBorder="1"/>
    <xf numFmtId="10" fontId="0" fillId="2" borderId="1" xfId="0" applyNumberFormat="1" applyFill="1" applyBorder="1" applyAlignment="1">
      <alignment horizontal="center"/>
    </xf>
    <xf numFmtId="10" fontId="28" fillId="2" borderId="1" xfId="0" applyNumberFormat="1" applyFont="1" applyFill="1" applyBorder="1" applyAlignment="1">
      <alignment horizontal="center"/>
    </xf>
    <xf numFmtId="10" fontId="1" fillId="0" borderId="13" xfId="4" applyNumberFormat="1" applyFont="1" applyBorder="1"/>
    <xf numFmtId="10" fontId="0" fillId="0" borderId="41" xfId="0" applyNumberFormat="1" applyBorder="1" applyAlignment="1">
      <alignment horizontal="center"/>
    </xf>
    <xf numFmtId="10" fontId="28" fillId="0" borderId="41" xfId="0" applyNumberFormat="1" applyFont="1" applyBorder="1" applyAlignment="1">
      <alignment horizontal="center"/>
    </xf>
    <xf numFmtId="10" fontId="28" fillId="8" borderId="41" xfId="0" applyNumberFormat="1" applyFont="1" applyFill="1" applyBorder="1" applyAlignment="1" applyProtection="1">
      <alignment horizontal="center"/>
      <protection locked="0"/>
    </xf>
    <xf numFmtId="9" fontId="31" fillId="0" borderId="0" xfId="4" applyFont="1" applyBorder="1" applyAlignment="1">
      <alignment horizontal="right"/>
    </xf>
    <xf numFmtId="10" fontId="31" fillId="0" borderId="13" xfId="4" applyNumberFormat="1" applyFont="1" applyBorder="1" applyAlignment="1">
      <alignment horizontal="right"/>
    </xf>
    <xf numFmtId="0" fontId="0" fillId="0" borderId="38" xfId="0" applyBorder="1" applyAlignment="1">
      <alignment horizontal="left" indent="3"/>
    </xf>
    <xf numFmtId="9" fontId="28" fillId="8" borderId="0" xfId="4" applyFont="1" applyFill="1" applyAlignment="1" applyProtection="1">
      <alignment horizontal="right"/>
      <protection locked="0"/>
    </xf>
    <xf numFmtId="10" fontId="28" fillId="8" borderId="0" xfId="4" applyNumberFormat="1" applyFont="1" applyFill="1" applyBorder="1" applyAlignment="1" applyProtection="1">
      <alignment horizontal="right"/>
      <protection locked="0"/>
    </xf>
    <xf numFmtId="9" fontId="1" fillId="0" borderId="0" xfId="4" applyFont="1" applyAlignment="1">
      <alignment horizontal="right"/>
    </xf>
    <xf numFmtId="10" fontId="27" fillId="0" borderId="0" xfId="4" applyNumberFormat="1" applyFont="1" applyFill="1" applyBorder="1" applyAlignment="1" applyProtection="1">
      <alignment horizontal="right"/>
    </xf>
    <xf numFmtId="0" fontId="28" fillId="2" borderId="9" xfId="0" applyFont="1" applyFill="1" applyBorder="1"/>
    <xf numFmtId="9" fontId="28" fillId="2" borderId="19" xfId="4" applyFont="1" applyFill="1" applyBorder="1" applyAlignment="1">
      <alignment horizontal="right"/>
    </xf>
    <xf numFmtId="0" fontId="0" fillId="0" borderId="35" xfId="0" applyBorder="1"/>
    <xf numFmtId="9" fontId="1" fillId="0" borderId="36" xfId="4" applyFont="1" applyBorder="1" applyAlignment="1">
      <alignment horizontal="right"/>
    </xf>
    <xf numFmtId="10" fontId="1" fillId="0" borderId="36" xfId="4" applyNumberFormat="1" applyFont="1" applyBorder="1"/>
    <xf numFmtId="10" fontId="0" fillId="0" borderId="36" xfId="0" applyNumberFormat="1" applyBorder="1" applyAlignment="1">
      <alignment horizontal="center"/>
    </xf>
    <xf numFmtId="10" fontId="0" fillId="0" borderId="37" xfId="0" applyNumberFormat="1" applyBorder="1" applyAlignment="1">
      <alignment horizontal="center"/>
    </xf>
    <xf numFmtId="0" fontId="0" fillId="0" borderId="0" xfId="0" applyAlignment="1">
      <alignment horizontal="right"/>
    </xf>
    <xf numFmtId="10" fontId="1" fillId="0" borderId="0" xfId="4" applyNumberFormat="1" applyFont="1" applyBorder="1"/>
    <xf numFmtId="10" fontId="0" fillId="0" borderId="0" xfId="0" applyNumberFormat="1" applyAlignment="1">
      <alignment horizontal="center"/>
    </xf>
    <xf numFmtId="10" fontId="0" fillId="0" borderId="13" xfId="0" applyNumberFormat="1" applyBorder="1" applyAlignment="1">
      <alignment horizontal="center"/>
    </xf>
    <xf numFmtId="0" fontId="0" fillId="0" borderId="29" xfId="0" applyBorder="1"/>
    <xf numFmtId="9" fontId="1" fillId="0" borderId="39" xfId="4" applyFont="1" applyBorder="1" applyAlignment="1">
      <alignment horizontal="right"/>
    </xf>
    <xf numFmtId="10" fontId="1" fillId="0" borderId="39" xfId="4" applyNumberFormat="1" applyFont="1" applyBorder="1"/>
    <xf numFmtId="10" fontId="0" fillId="0" borderId="39" xfId="0" applyNumberFormat="1" applyBorder="1" applyAlignment="1">
      <alignment horizontal="center"/>
    </xf>
    <xf numFmtId="10" fontId="0" fillId="0" borderId="40" xfId="0" applyNumberFormat="1" applyBorder="1" applyAlignment="1">
      <alignment horizontal="center"/>
    </xf>
    <xf numFmtId="9" fontId="29" fillId="0" borderId="0" xfId="4" applyFont="1" applyAlignment="1">
      <alignment horizontal="right"/>
    </xf>
    <xf numFmtId="10" fontId="1" fillId="0" borderId="0" xfId="4" applyNumberFormat="1" applyFont="1"/>
    <xf numFmtId="0" fontId="3" fillId="0" borderId="0" xfId="0" applyFont="1" applyAlignment="1">
      <alignment horizontal="centerContinuous"/>
    </xf>
    <xf numFmtId="10" fontId="10" fillId="0" borderId="0" xfId="0" applyNumberFormat="1" applyFont="1" applyAlignment="1">
      <alignment horizontal="centerContinuous"/>
    </xf>
    <xf numFmtId="0" fontId="10" fillId="0" borderId="0" xfId="0" applyFont="1"/>
    <xf numFmtId="10" fontId="10" fillId="9" borderId="45" xfId="0" applyNumberFormat="1" applyFont="1" applyFill="1" applyBorder="1" applyAlignment="1">
      <alignment horizontal="center" vertical="center" wrapText="1"/>
    </xf>
    <xf numFmtId="10" fontId="10" fillId="9" borderId="46" xfId="0" applyNumberFormat="1" applyFont="1" applyFill="1" applyBorder="1" applyAlignment="1">
      <alignment horizontal="center" vertical="center" wrapText="1"/>
    </xf>
    <xf numFmtId="10" fontId="10" fillId="10" borderId="45" xfId="0" applyNumberFormat="1" applyFont="1" applyFill="1" applyBorder="1" applyAlignment="1">
      <alignment horizontal="center" vertical="center" wrapText="1"/>
    </xf>
    <xf numFmtId="10" fontId="10" fillId="10" borderId="46" xfId="0" applyNumberFormat="1" applyFont="1" applyFill="1" applyBorder="1" applyAlignment="1">
      <alignment horizontal="center" vertical="center" wrapText="1"/>
    </xf>
    <xf numFmtId="10" fontId="10" fillId="12" borderId="45" xfId="0" applyNumberFormat="1" applyFont="1" applyFill="1" applyBorder="1" applyAlignment="1">
      <alignment horizontal="center" vertical="center" wrapText="1"/>
    </xf>
    <xf numFmtId="10" fontId="10" fillId="12" borderId="46" xfId="0" applyNumberFormat="1" applyFont="1" applyFill="1" applyBorder="1" applyAlignment="1">
      <alignment horizontal="center" vertical="center" wrapText="1"/>
    </xf>
    <xf numFmtId="10" fontId="10" fillId="0" borderId="44" xfId="0" applyNumberFormat="1" applyFont="1" applyBorder="1" applyAlignment="1">
      <alignment horizontal="center" vertical="center" wrapText="1"/>
    </xf>
    <xf numFmtId="0" fontId="10" fillId="0" borderId="41" xfId="0" applyFont="1" applyBorder="1" applyAlignment="1">
      <alignment vertical="center"/>
    </xf>
    <xf numFmtId="10" fontId="10" fillId="0" borderId="38" xfId="0" applyNumberFormat="1" applyFont="1" applyBorder="1" applyAlignment="1">
      <alignment horizontal="center" vertical="center"/>
    </xf>
    <xf numFmtId="10" fontId="10" fillId="0" borderId="13" xfId="0" applyNumberFormat="1" applyFont="1" applyBorder="1" applyAlignment="1">
      <alignment horizontal="center" vertical="center"/>
    </xf>
    <xf numFmtId="10" fontId="10" fillId="0" borderId="41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10" fontId="10" fillId="0" borderId="35" xfId="0" applyNumberFormat="1" applyFont="1" applyBorder="1" applyAlignment="1">
      <alignment horizontal="center" vertical="center"/>
    </xf>
    <xf numFmtId="10" fontId="10" fillId="0" borderId="37" xfId="0" applyNumberFormat="1" applyFont="1" applyBorder="1" applyAlignment="1">
      <alignment horizontal="center" vertical="center"/>
    </xf>
    <xf numFmtId="10" fontId="10" fillId="0" borderId="8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0" fontId="10" fillId="0" borderId="29" xfId="0" applyNumberFormat="1" applyFont="1" applyBorder="1" applyAlignment="1">
      <alignment horizontal="center" vertical="center"/>
    </xf>
    <xf numFmtId="10" fontId="10" fillId="0" borderId="40" xfId="0" applyNumberFormat="1" applyFont="1" applyBorder="1" applyAlignment="1">
      <alignment horizontal="center" vertical="center"/>
    </xf>
    <xf numFmtId="10" fontId="10" fillId="0" borderId="12" xfId="0" applyNumberFormat="1" applyFont="1" applyBorder="1" applyAlignment="1">
      <alignment horizontal="center" vertical="center"/>
    </xf>
    <xf numFmtId="10" fontId="10" fillId="0" borderId="0" xfId="0" applyNumberFormat="1" applyFont="1" applyAlignment="1">
      <alignment horizontal="center"/>
    </xf>
    <xf numFmtId="0" fontId="10" fillId="0" borderId="0" xfId="0" applyFont="1" applyAlignment="1">
      <alignment vertical="center"/>
    </xf>
    <xf numFmtId="10" fontId="18" fillId="0" borderId="2" xfId="4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2" fontId="2" fillId="4" borderId="1" xfId="6" applyNumberFormat="1" applyFont="1" applyFill="1" applyBorder="1" applyAlignment="1">
      <alignment horizontal="center" vertical="center"/>
    </xf>
    <xf numFmtId="167" fontId="2" fillId="4" borderId="8" xfId="0" applyNumberFormat="1" applyFont="1" applyFill="1" applyBorder="1" applyAlignment="1">
      <alignment horizontal="center" vertical="center" wrapText="1"/>
    </xf>
    <xf numFmtId="166" fontId="2" fillId="0" borderId="31" xfId="0" applyNumberFormat="1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64" fontId="2" fillId="4" borderId="8" xfId="1" applyFont="1" applyFill="1" applyBorder="1" applyAlignment="1" applyProtection="1">
      <alignment horizontal="center" vertical="center"/>
    </xf>
    <xf numFmtId="1" fontId="2" fillId="0" borderId="3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21" fillId="5" borderId="30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7" fontId="12" fillId="2" borderId="22" xfId="0" applyNumberFormat="1" applyFont="1" applyFill="1" applyBorder="1" applyAlignment="1">
      <alignment horizontal="center" vertical="center" wrapText="1"/>
    </xf>
    <xf numFmtId="167" fontId="12" fillId="2" borderId="27" xfId="0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9" fontId="10" fillId="2" borderId="1" xfId="6" applyNumberFormat="1" applyFont="1" applyFill="1" applyBorder="1" applyAlignment="1">
      <alignment horizontal="center" wrapText="1"/>
    </xf>
    <xf numFmtId="39" fontId="10" fillId="2" borderId="2" xfId="6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49" fontId="28" fillId="8" borderId="0" xfId="0" applyNumberFormat="1" applyFont="1" applyFill="1" applyAlignment="1" applyProtection="1">
      <alignment horizontal="left" shrinkToFit="1"/>
      <protection locked="0"/>
    </xf>
    <xf numFmtId="49" fontId="28" fillId="8" borderId="13" xfId="0" applyNumberFormat="1" applyFont="1" applyFill="1" applyBorder="1" applyAlignment="1" applyProtection="1">
      <alignment horizontal="left" shrinkToFit="1"/>
      <protection locked="0"/>
    </xf>
    <xf numFmtId="49" fontId="28" fillId="8" borderId="42" xfId="4" applyNumberFormat="1" applyFont="1" applyFill="1" applyBorder="1" applyAlignment="1" applyProtection="1">
      <alignment horizontal="center" shrinkToFit="1"/>
      <protection locked="0"/>
    </xf>
    <xf numFmtId="0" fontId="32" fillId="0" borderId="43" xfId="0" applyFont="1" applyBorder="1" applyAlignment="1">
      <alignment horizontal="center" vertical="top"/>
    </xf>
    <xf numFmtId="0" fontId="0" fillId="0" borderId="42" xfId="0" applyBorder="1" applyAlignment="1" applyProtection="1">
      <alignment horizontal="center"/>
      <protection locked="0"/>
    </xf>
    <xf numFmtId="10" fontId="32" fillId="0" borderId="43" xfId="4" applyNumberFormat="1" applyFont="1" applyBorder="1" applyAlignment="1">
      <alignment horizontal="center" vertical="top"/>
    </xf>
    <xf numFmtId="0" fontId="25" fillId="0" borderId="0" xfId="0" applyFont="1" applyAlignment="1" applyProtection="1">
      <alignment horizontal="center"/>
      <protection locked="0"/>
    </xf>
    <xf numFmtId="0" fontId="28" fillId="0" borderId="9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49" fontId="28" fillId="8" borderId="0" xfId="4" applyNumberFormat="1" applyFont="1" applyFill="1" applyBorder="1" applyAlignment="1" applyProtection="1">
      <alignment shrinkToFit="1"/>
      <protection locked="0"/>
    </xf>
    <xf numFmtId="49" fontId="28" fillId="8" borderId="13" xfId="4" applyNumberFormat="1" applyFont="1" applyFill="1" applyBorder="1" applyAlignment="1" applyProtection="1">
      <alignment shrinkToFit="1"/>
      <protection locked="0"/>
    </xf>
    <xf numFmtId="1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44" xfId="0" applyFont="1" applyFill="1" applyBorder="1" applyAlignment="1">
      <alignment vertical="center" wrapText="1"/>
    </xf>
    <xf numFmtId="10" fontId="10" fillId="9" borderId="8" xfId="0" applyNumberFormat="1" applyFont="1" applyFill="1" applyBorder="1" applyAlignment="1">
      <alignment horizontal="center" vertical="center" wrapText="1"/>
    </xf>
    <xf numFmtId="10" fontId="10" fillId="10" borderId="8" xfId="0" applyNumberFormat="1" applyFont="1" applyFill="1" applyBorder="1" applyAlignment="1">
      <alignment horizontal="center" vertical="center" wrapText="1"/>
    </xf>
    <xf numFmtId="10" fontId="10" fillId="11" borderId="1" xfId="0" applyNumberFormat="1" applyFont="1" applyFill="1" applyBorder="1" applyAlignment="1">
      <alignment horizontal="center" vertical="center" wrapText="1"/>
    </xf>
    <xf numFmtId="10" fontId="10" fillId="9" borderId="12" xfId="0" applyNumberFormat="1" applyFont="1" applyFill="1" applyBorder="1" applyAlignment="1">
      <alignment horizontal="center" vertical="center" wrapText="1"/>
    </xf>
    <xf numFmtId="10" fontId="10" fillId="10" borderId="12" xfId="0" applyNumberFormat="1" applyFont="1" applyFill="1" applyBorder="1" applyAlignment="1">
      <alignment horizontal="center" vertical="center" wrapText="1"/>
    </xf>
  </cellXfs>
  <cellStyles count="11">
    <cellStyle name="Moeda" xfId="1" builtinId="4"/>
    <cellStyle name="Normal" xfId="0" builtinId="0"/>
    <cellStyle name="Normal 2" xfId="2" xr:uid="{00000000-0005-0000-0000-000002000000}"/>
    <cellStyle name="Normal 2 2" xfId="8" xr:uid="{00000000-0005-0000-0000-000003000000}"/>
    <cellStyle name="Normal 3 3" xfId="3" xr:uid="{00000000-0005-0000-0000-000004000000}"/>
    <cellStyle name="Porcentagem" xfId="4" builtinId="5"/>
    <cellStyle name="Porcentagem 2" xfId="7" xr:uid="{00000000-0005-0000-0000-000006000000}"/>
    <cellStyle name="Separador de milhares 2" xfId="5" xr:uid="{00000000-0005-0000-0000-000007000000}"/>
    <cellStyle name="Separador de milhares 2 2" xfId="9" xr:uid="{00000000-0005-0000-0000-000008000000}"/>
    <cellStyle name="Vírgula" xfId="6" builtinId="3"/>
    <cellStyle name="Vírgula 2" xfId="10" xr:uid="{00000000-0005-0000-0000-00000A000000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C000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theme="9" tint="0.79998168889431442"/>
        </patternFill>
      </fill>
    </dxf>
    <dxf>
      <font>
        <b/>
        <i val="0"/>
        <color rgb="FFC00000"/>
      </font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35</xdr:row>
      <xdr:rowOff>28575</xdr:rowOff>
    </xdr:from>
    <xdr:to>
      <xdr:col>6</xdr:col>
      <xdr:colOff>504825</xdr:colOff>
      <xdr:row>37</xdr:row>
      <xdr:rowOff>184505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748E517-3822-4DA8-AEC2-33BAE5E68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5" y="6410325"/>
          <a:ext cx="2466975" cy="5369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u%20Drive/PROJETOS%20COMPARTILHADOS/2019%20-%20PREFEITURA%20CAMPO%20ALEGRE%202/Calculo%20BDI%20-%20rua%20lajo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álculo BDI"/>
      <sheetName val="Tabelas"/>
    </sheetNames>
    <sheetDataSet>
      <sheetData sheetId="0"/>
      <sheetData sheetId="1">
        <row r="8">
          <cell r="B8" t="str">
            <v xml:space="preserve">Construção de edifícios </v>
          </cell>
          <cell r="C8">
            <v>0.2034</v>
          </cell>
          <cell r="D8">
            <v>0.25</v>
          </cell>
          <cell r="E8">
            <v>0.22339999999999999</v>
          </cell>
          <cell r="F8">
            <v>0.27229999999999999</v>
          </cell>
          <cell r="G8">
            <v>0.03</v>
          </cell>
          <cell r="H8">
            <v>5.5E-2</v>
          </cell>
          <cell r="I8">
            <v>8.0000000000000002E-3</v>
          </cell>
          <cell r="J8">
            <v>0.01</v>
          </cell>
          <cell r="K8">
            <v>9.7000000000000003E-3</v>
          </cell>
          <cell r="L8">
            <v>1.2699999999999999E-2</v>
          </cell>
          <cell r="M8">
            <v>5.8999999999999999E-3</v>
          </cell>
          <cell r="N8">
            <v>1.3899999999999999E-2</v>
          </cell>
          <cell r="O8">
            <v>6.1600000000000002E-2</v>
          </cell>
          <cell r="P8">
            <v>8.9599999999999999E-2</v>
          </cell>
          <cell r="Q8" t="str">
            <v>(*)</v>
          </cell>
          <cell r="R8" t="str">
            <v>0 ou 2%</v>
          </cell>
        </row>
        <row r="9">
          <cell r="B9" t="str">
            <v>Rodovias e ferrovias</v>
          </cell>
          <cell r="C9">
            <v>0.19600000000000001</v>
          </cell>
          <cell r="D9">
            <v>0.24229999999999999</v>
          </cell>
          <cell r="E9">
            <v>0.216</v>
          </cell>
          <cell r="F9">
            <v>0.2646</v>
          </cell>
          <cell r="G9">
            <v>3.7999999999999999E-2</v>
          </cell>
          <cell r="H9">
            <v>4.6699999999999998E-2</v>
          </cell>
          <cell r="I9">
            <v>3.2000000000000002E-3</v>
          </cell>
          <cell r="J9">
            <v>7.4000000000000003E-3</v>
          </cell>
          <cell r="K9">
            <v>5.0000000000000001E-3</v>
          </cell>
          <cell r="L9">
            <v>9.7000000000000003E-3</v>
          </cell>
          <cell r="M9">
            <v>1.0200000000000001E-2</v>
          </cell>
          <cell r="N9">
            <v>1.21E-2</v>
          </cell>
          <cell r="O9">
            <v>6.6400000000000001E-2</v>
          </cell>
          <cell r="P9">
            <v>8.6900000000000005E-2</v>
          </cell>
          <cell r="Q9" t="str">
            <v>(*)</v>
          </cell>
          <cell r="R9" t="str">
            <v>0 ou 2%</v>
          </cell>
        </row>
        <row r="10">
          <cell r="B10" t="str">
            <v>Estações e redes de água e esgoto</v>
          </cell>
          <cell r="C10">
            <v>0.20760000000000001</v>
          </cell>
          <cell r="D10">
            <v>0.26440000000000002</v>
          </cell>
          <cell r="E10">
            <v>0.2276</v>
          </cell>
          <cell r="F10">
            <v>0.28670000000000001</v>
          </cell>
          <cell r="G10">
            <v>3.4299999999999997E-2</v>
          </cell>
          <cell r="H10">
            <v>6.7100000000000007E-2</v>
          </cell>
          <cell r="I10">
            <v>2.8E-3</v>
          </cell>
          <cell r="J10">
            <v>7.4999999999999997E-3</v>
          </cell>
          <cell r="K10">
            <v>0.01</v>
          </cell>
          <cell r="L10">
            <v>1.7399999999999999E-2</v>
          </cell>
          <cell r="M10">
            <v>9.4000000000000004E-3</v>
          </cell>
          <cell r="N10">
            <v>1.17E-2</v>
          </cell>
          <cell r="O10">
            <v>6.7400000000000002E-2</v>
          </cell>
          <cell r="P10">
            <v>9.4E-2</v>
          </cell>
          <cell r="Q10" t="str">
            <v>(*)</v>
          </cell>
          <cell r="R10" t="str">
            <v>0 ou 2%</v>
          </cell>
        </row>
        <row r="11">
          <cell r="B11" t="str">
            <v>Estações e redes de energia elétrica</v>
          </cell>
          <cell r="C11">
            <v>0.24</v>
          </cell>
          <cell r="D11">
            <v>0.27860000000000001</v>
          </cell>
          <cell r="E11">
            <v>0.26</v>
          </cell>
          <cell r="F11">
            <v>0.3009</v>
          </cell>
          <cell r="G11">
            <v>5.2900000000000003E-2</v>
          </cell>
          <cell r="H11">
            <v>7.9299999999999995E-2</v>
          </cell>
          <cell r="I11">
            <v>2.5000000000000001E-3</v>
          </cell>
          <cell r="J11">
            <v>5.5999999999999999E-3</v>
          </cell>
          <cell r="K11">
            <v>0.01</v>
          </cell>
          <cell r="L11">
            <v>1.9699999999999999E-2</v>
          </cell>
          <cell r="M11">
            <v>1.01E-2</v>
          </cell>
          <cell r="N11">
            <v>1.11E-2</v>
          </cell>
          <cell r="O11">
            <v>0.08</v>
          </cell>
          <cell r="P11">
            <v>9.5100000000000004E-2</v>
          </cell>
          <cell r="Q11" t="str">
            <v>(*)</v>
          </cell>
          <cell r="R11" t="str">
            <v>0 ou 2%</v>
          </cell>
        </row>
        <row r="12">
          <cell r="B12" t="str">
            <v>Portuárias, marítimas e fluviais</v>
          </cell>
          <cell r="C12">
            <v>0.22800000000000001</v>
          </cell>
          <cell r="D12">
            <v>0.3095</v>
          </cell>
          <cell r="E12">
            <v>0.248</v>
          </cell>
          <cell r="F12">
            <v>0.33179999999999998</v>
          </cell>
          <cell r="G12">
            <v>0.04</v>
          </cell>
          <cell r="H12">
            <v>7.85E-2</v>
          </cell>
          <cell r="I12">
            <v>8.0999999999999996E-3</v>
          </cell>
          <cell r="J12">
            <v>1.9900000000000001E-2</v>
          </cell>
          <cell r="K12">
            <v>1.46E-2</v>
          </cell>
          <cell r="L12">
            <v>3.1600000000000003E-2</v>
          </cell>
          <cell r="M12">
            <v>9.4000000000000004E-3</v>
          </cell>
          <cell r="N12">
            <v>1.3299999999999999E-2</v>
          </cell>
          <cell r="O12">
            <v>7.1400000000000005E-2</v>
          </cell>
          <cell r="P12">
            <v>0.1043</v>
          </cell>
          <cell r="Q12" t="str">
            <v>(*)</v>
          </cell>
          <cell r="R12" t="str">
            <v>0 ou 2%</v>
          </cell>
        </row>
        <row r="13">
          <cell r="B13" t="str">
            <v>Materiais e equipamentos (instalados)</v>
          </cell>
          <cell r="C13">
            <v>0.111</v>
          </cell>
          <cell r="D13">
            <v>0.16800000000000001</v>
          </cell>
          <cell r="E13">
            <v>0.13100000000000001</v>
          </cell>
          <cell r="F13">
            <v>0.188</v>
          </cell>
          <cell r="G13">
            <v>1.4999999999999999E-2</v>
          </cell>
          <cell r="H13">
            <v>4.4900000000000002E-2</v>
          </cell>
          <cell r="I13">
            <v>3.0000000000000001E-3</v>
          </cell>
          <cell r="J13">
            <v>8.2000000000000007E-3</v>
          </cell>
          <cell r="K13">
            <v>5.5999999999999999E-3</v>
          </cell>
          <cell r="L13">
            <v>8.8999999999999999E-3</v>
          </cell>
          <cell r="M13">
            <v>8.5000000000000006E-3</v>
          </cell>
          <cell r="N13">
            <v>1.11E-2</v>
          </cell>
          <cell r="O13">
            <v>3.5000000000000003E-2</v>
          </cell>
          <cell r="P13">
            <v>6.2199999999999998E-2</v>
          </cell>
          <cell r="Q13" t="str">
            <v>(*)</v>
          </cell>
          <cell r="R13" t="str">
            <v>0 ou 2%</v>
          </cell>
        </row>
        <row r="14">
          <cell r="B14" t="str">
            <v>Materiais e equipamentos (antecipado)</v>
          </cell>
          <cell r="C14">
            <v>0.1</v>
          </cell>
          <cell r="D14">
            <v>0.12</v>
          </cell>
          <cell r="E14">
            <v>0.1</v>
          </cell>
          <cell r="F14">
            <v>0.12</v>
          </cell>
          <cell r="G14">
            <v>1.4999999999999999E-2</v>
          </cell>
          <cell r="H14">
            <v>4.4900000000000002E-2</v>
          </cell>
          <cell r="I14">
            <v>3.0000000000000001E-3</v>
          </cell>
          <cell r="J14">
            <v>8.2000000000000007E-3</v>
          </cell>
          <cell r="K14">
            <v>5.5999999999999999E-3</v>
          </cell>
          <cell r="L14">
            <v>8.8999999999999999E-3</v>
          </cell>
          <cell r="M14">
            <v>8.5000000000000006E-3</v>
          </cell>
          <cell r="N14">
            <v>1.11E-2</v>
          </cell>
          <cell r="O14">
            <v>3.5000000000000003E-2</v>
          </cell>
          <cell r="P14">
            <v>6.2199999999999998E-2</v>
          </cell>
          <cell r="Q14" t="str">
            <v>(*)</v>
          </cell>
          <cell r="R14" t="str">
            <v>0 ou 2%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showGridLines="0" tabSelected="1" view="pageBreakPreview" topLeftCell="A19" zoomScale="90" zoomScaleNormal="90" zoomScaleSheetLayoutView="90" workbookViewId="0">
      <selection activeCell="E37" sqref="E37"/>
    </sheetView>
  </sheetViews>
  <sheetFormatPr defaultRowHeight="12.75" x14ac:dyDescent="0.2"/>
  <cols>
    <col min="1" max="1" width="14.42578125" style="8" customWidth="1"/>
    <col min="2" max="2" width="16.28515625" style="20" customWidth="1"/>
    <col min="3" max="3" width="42" style="8" customWidth="1"/>
    <col min="4" max="4" width="6" style="8" customWidth="1"/>
    <col min="5" max="5" width="11" style="63" customWidth="1"/>
    <col min="6" max="6" width="13" style="27" customWidth="1"/>
    <col min="7" max="7" width="15.28515625" style="27" customWidth="1"/>
    <col min="8" max="8" width="18.85546875" style="27" customWidth="1"/>
    <col min="9" max="9" width="13.140625" style="8" bestFit="1" customWidth="1"/>
    <col min="10" max="16384" width="9.140625" style="8"/>
  </cols>
  <sheetData>
    <row r="1" spans="1:8" ht="23.25" customHeight="1" x14ac:dyDescent="0.2">
      <c r="A1" s="216" t="s">
        <v>28</v>
      </c>
      <c r="B1" s="217"/>
      <c r="C1" s="217"/>
      <c r="D1" s="217"/>
      <c r="E1" s="217"/>
      <c r="F1" s="217"/>
      <c r="G1" s="218"/>
      <c r="H1" s="219"/>
    </row>
    <row r="2" spans="1:8" ht="19.5" customHeight="1" x14ac:dyDescent="0.2">
      <c r="A2" s="68" t="s">
        <v>38</v>
      </c>
      <c r="B2" s="220" t="s">
        <v>39</v>
      </c>
      <c r="C2" s="220"/>
      <c r="D2" s="220"/>
      <c r="E2" s="220"/>
      <c r="F2" s="220"/>
      <c r="G2" s="70"/>
      <c r="H2" s="71"/>
    </row>
    <row r="3" spans="1:8" ht="19.5" customHeight="1" x14ac:dyDescent="0.2">
      <c r="A3" s="68" t="s">
        <v>20</v>
      </c>
      <c r="B3" s="220" t="s">
        <v>102</v>
      </c>
      <c r="C3" s="220"/>
      <c r="D3" s="220"/>
      <c r="E3" s="220"/>
      <c r="F3" s="220"/>
      <c r="G3" s="84" t="s">
        <v>36</v>
      </c>
      <c r="H3" s="102">
        <v>43878</v>
      </c>
    </row>
    <row r="4" spans="1:8" ht="19.5" customHeight="1" x14ac:dyDescent="0.2">
      <c r="A4" s="85" t="s">
        <v>37</v>
      </c>
      <c r="B4" s="220" t="s">
        <v>103</v>
      </c>
      <c r="C4" s="220"/>
      <c r="D4" s="220"/>
      <c r="E4" s="220"/>
      <c r="F4" s="220"/>
      <c r="G4" s="69" t="s">
        <v>35</v>
      </c>
      <c r="H4" s="200">
        <f>BDI!G35</f>
        <v>0.23918556820903669</v>
      </c>
    </row>
    <row r="5" spans="1:8" ht="19.5" customHeight="1" x14ac:dyDescent="0.2">
      <c r="A5" s="85"/>
      <c r="B5" s="233" t="s">
        <v>104</v>
      </c>
      <c r="C5" s="234"/>
      <c r="D5" s="234"/>
      <c r="E5" s="234"/>
      <c r="F5" s="235"/>
      <c r="G5" s="83"/>
      <c r="H5" s="200"/>
    </row>
    <row r="6" spans="1:8" s="16" customFormat="1" ht="18.75" thickBot="1" x14ac:dyDescent="0.25">
      <c r="A6" s="221" t="s">
        <v>32</v>
      </c>
      <c r="B6" s="222"/>
      <c r="C6" s="222"/>
      <c r="D6" s="222"/>
      <c r="E6" s="222"/>
      <c r="F6" s="222"/>
      <c r="G6" s="222"/>
      <c r="H6" s="223"/>
    </row>
    <row r="7" spans="1:8" ht="13.5" customHeight="1" x14ac:dyDescent="0.2">
      <c r="A7" s="224" t="s">
        <v>16</v>
      </c>
      <c r="B7" s="225" t="s">
        <v>24</v>
      </c>
      <c r="C7" s="226" t="s">
        <v>17</v>
      </c>
      <c r="D7" s="226" t="s">
        <v>18</v>
      </c>
      <c r="E7" s="227" t="s">
        <v>19</v>
      </c>
      <c r="F7" s="226" t="s">
        <v>21</v>
      </c>
      <c r="G7" s="226" t="s">
        <v>30</v>
      </c>
      <c r="H7" s="228" t="s">
        <v>23</v>
      </c>
    </row>
    <row r="8" spans="1:8" s="18" customFormat="1" x14ac:dyDescent="0.2">
      <c r="A8" s="224"/>
      <c r="B8" s="225"/>
      <c r="C8" s="226"/>
      <c r="D8" s="226"/>
      <c r="E8" s="227"/>
      <c r="F8" s="226"/>
      <c r="G8" s="226"/>
      <c r="H8" s="228"/>
    </row>
    <row r="9" spans="1:8" s="18" customFormat="1" x14ac:dyDescent="0.2">
      <c r="A9" s="86" t="s">
        <v>0</v>
      </c>
      <c r="B9" s="17"/>
      <c r="C9" s="12" t="s">
        <v>1</v>
      </c>
      <c r="D9" s="14"/>
      <c r="E9" s="56"/>
      <c r="F9" s="26"/>
      <c r="G9" s="26"/>
      <c r="H9" s="87"/>
    </row>
    <row r="10" spans="1:8" ht="26.25" thickBot="1" x14ac:dyDescent="0.25">
      <c r="A10" s="88" t="s">
        <v>25</v>
      </c>
      <c r="B10" s="74" t="s">
        <v>26</v>
      </c>
      <c r="C10" s="10" t="s">
        <v>27</v>
      </c>
      <c r="D10" s="3" t="s">
        <v>2</v>
      </c>
      <c r="E10" s="57">
        <v>1.5</v>
      </c>
      <c r="F10" s="55">
        <v>383.28</v>
      </c>
      <c r="G10" s="33">
        <f>F10*$H$4+F10</f>
        <v>474.95504458315952</v>
      </c>
      <c r="H10" s="89">
        <f>E10*G10</f>
        <v>712.43256687473922</v>
      </c>
    </row>
    <row r="11" spans="1:8" s="18" customFormat="1" ht="13.5" thickBot="1" x14ac:dyDescent="0.25">
      <c r="A11" s="88"/>
      <c r="B11" s="74"/>
      <c r="C11" s="10"/>
      <c r="D11" s="3"/>
      <c r="E11" s="58"/>
      <c r="F11" s="229" t="s">
        <v>22</v>
      </c>
      <c r="G11" s="230"/>
      <c r="H11" s="29">
        <f>SUM(H10:H10)</f>
        <v>712.43256687473922</v>
      </c>
    </row>
    <row r="12" spans="1:8" s="18" customFormat="1" x14ac:dyDescent="0.2">
      <c r="A12" s="88"/>
      <c r="B12" s="74"/>
      <c r="C12" s="10"/>
      <c r="D12" s="3"/>
      <c r="E12" s="59"/>
      <c r="F12" s="30"/>
      <c r="G12" s="31"/>
      <c r="H12" s="90"/>
    </row>
    <row r="13" spans="1:8" s="18" customFormat="1" x14ac:dyDescent="0.2">
      <c r="A13" s="95">
        <v>2</v>
      </c>
      <c r="B13" s="17"/>
      <c r="C13" s="214" t="s">
        <v>44</v>
      </c>
      <c r="D13" s="215"/>
      <c r="E13" s="215"/>
      <c r="F13" s="26"/>
      <c r="G13" s="26"/>
      <c r="H13" s="87"/>
    </row>
    <row r="14" spans="1:8" s="18" customFormat="1" ht="25.5" x14ac:dyDescent="0.2">
      <c r="A14" s="113">
        <v>2.1</v>
      </c>
      <c r="B14" s="75">
        <v>94970</v>
      </c>
      <c r="C14" s="49" t="s">
        <v>45</v>
      </c>
      <c r="D14" s="112" t="s">
        <v>4</v>
      </c>
      <c r="E14" s="57">
        <v>9.5299999999999994</v>
      </c>
      <c r="F14" s="21">
        <v>300.7</v>
      </c>
      <c r="G14" s="33">
        <f t="shared" ref="G14:G16" si="0">F14*$H$4+F14</f>
        <v>372.62310036045733</v>
      </c>
      <c r="H14" s="89">
        <f t="shared" ref="H14:H16" si="1">E14*G14</f>
        <v>3551.098146435158</v>
      </c>
    </row>
    <row r="15" spans="1:8" s="18" customFormat="1" ht="38.25" x14ac:dyDescent="0.2">
      <c r="A15" s="113">
        <v>2.2000000000000002</v>
      </c>
      <c r="B15" s="75" t="s">
        <v>48</v>
      </c>
      <c r="C15" s="49" t="s">
        <v>47</v>
      </c>
      <c r="D15" s="112" t="s">
        <v>3</v>
      </c>
      <c r="E15" s="57">
        <f>(17.75*2+34)*2+(5*2)*6*(0.8)</f>
        <v>187</v>
      </c>
      <c r="F15" s="21">
        <f>38.52-4.94-4.63</f>
        <v>28.950000000000006</v>
      </c>
      <c r="G15" s="33">
        <f t="shared" si="0"/>
        <v>35.874422199651619</v>
      </c>
      <c r="H15" s="89">
        <f t="shared" si="1"/>
        <v>6708.5169513348528</v>
      </c>
    </row>
    <row r="16" spans="1:8" s="18" customFormat="1" ht="26.25" thickBot="1" x14ac:dyDescent="0.25">
      <c r="A16" s="113">
        <v>2.2999999999999998</v>
      </c>
      <c r="B16" s="75">
        <v>92793</v>
      </c>
      <c r="C16" s="49" t="s">
        <v>49</v>
      </c>
      <c r="D16" s="43" t="s">
        <v>50</v>
      </c>
      <c r="E16" s="57">
        <f>413.5*2+119.6*2</f>
        <v>1066.2</v>
      </c>
      <c r="F16" s="47">
        <v>6.26</v>
      </c>
      <c r="G16" s="33">
        <f t="shared" si="0"/>
        <v>7.7573016569885693</v>
      </c>
      <c r="H16" s="89">
        <f t="shared" si="1"/>
        <v>8270.8350266812122</v>
      </c>
    </row>
    <row r="17" spans="1:9" s="18" customFormat="1" ht="13.5" thickBot="1" x14ac:dyDescent="0.25">
      <c r="A17" s="91"/>
      <c r="B17" s="76"/>
      <c r="C17" s="23"/>
      <c r="D17" s="24"/>
      <c r="E17" s="60"/>
      <c r="F17" s="231" t="s">
        <v>22</v>
      </c>
      <c r="G17" s="232"/>
      <c r="H17" s="29">
        <f>SUM(H14:H16)</f>
        <v>18530.450124451221</v>
      </c>
    </row>
    <row r="18" spans="1:9" s="18" customFormat="1" x14ac:dyDescent="0.2">
      <c r="A18" s="88"/>
      <c r="B18" s="74"/>
      <c r="C18" s="10"/>
      <c r="D18" s="3"/>
      <c r="E18" s="59"/>
      <c r="F18" s="30"/>
      <c r="G18" s="31"/>
      <c r="H18" s="90"/>
    </row>
    <row r="19" spans="1:9" s="18" customFormat="1" x14ac:dyDescent="0.2">
      <c r="A19" s="95">
        <v>3</v>
      </c>
      <c r="B19" s="17"/>
      <c r="C19" s="13" t="s">
        <v>5</v>
      </c>
      <c r="D19" s="13"/>
      <c r="E19" s="11"/>
      <c r="F19" s="15"/>
      <c r="G19" s="15"/>
      <c r="H19" s="92"/>
    </row>
    <row r="20" spans="1:9" s="18" customFormat="1" ht="25.5" x14ac:dyDescent="0.2">
      <c r="A20" s="114">
        <v>3.1</v>
      </c>
      <c r="B20" s="77">
        <v>72132</v>
      </c>
      <c r="C20" s="25" t="s">
        <v>51</v>
      </c>
      <c r="D20" s="22" t="s">
        <v>2</v>
      </c>
      <c r="E20" s="57">
        <f>(34+17.75*2)*2.6-3*3*2+(32+17.75*2)*2.6</f>
        <v>338.20000000000005</v>
      </c>
      <c r="F20" s="21">
        <v>62.49</v>
      </c>
      <c r="G20" s="33">
        <f t="shared" ref="G20:G21" si="2">F20*$H$4+F20</f>
        <v>77.436706157382702</v>
      </c>
      <c r="H20" s="89">
        <f t="shared" ref="H20:H21" si="3">E20*G20</f>
        <v>26189.094022426834</v>
      </c>
      <c r="I20" s="48"/>
    </row>
    <row r="21" spans="1:9" s="18" customFormat="1" ht="25.5" x14ac:dyDescent="0.2">
      <c r="A21" s="114">
        <v>3.2</v>
      </c>
      <c r="B21" s="77">
        <v>95465</v>
      </c>
      <c r="C21" s="201" t="s">
        <v>107</v>
      </c>
      <c r="D21" s="43" t="s">
        <v>2</v>
      </c>
      <c r="E21" s="202">
        <f>13.3*2+84.3</f>
        <v>110.9</v>
      </c>
      <c r="F21" s="47">
        <v>130.26</v>
      </c>
      <c r="G21" s="203">
        <f t="shared" si="2"/>
        <v>161.41631211490912</v>
      </c>
      <c r="H21" s="204">
        <f t="shared" si="3"/>
        <v>17901.069013543423</v>
      </c>
      <c r="I21" s="48"/>
    </row>
    <row r="22" spans="1:9" s="18" customFormat="1" ht="26.25" thickBot="1" x14ac:dyDescent="0.25">
      <c r="A22" s="114">
        <v>3.3</v>
      </c>
      <c r="B22" s="78" t="s">
        <v>34</v>
      </c>
      <c r="C22" s="42" t="s">
        <v>33</v>
      </c>
      <c r="D22" s="22" t="s">
        <v>2</v>
      </c>
      <c r="E22" s="57">
        <f>17.75*2+34</f>
        <v>69.5</v>
      </c>
      <c r="F22" s="21">
        <v>9.61</v>
      </c>
      <c r="G22" s="33">
        <f t="shared" ref="G22" si="4">F22*$H$4+F22</f>
        <v>11.908573310488842</v>
      </c>
      <c r="H22" s="93">
        <f t="shared" ref="H22" si="5">E22*G22</f>
        <v>827.6458450789745</v>
      </c>
    </row>
    <row r="23" spans="1:9" s="18" customFormat="1" ht="13.5" thickBot="1" x14ac:dyDescent="0.25">
      <c r="A23" s="94"/>
      <c r="B23" s="78"/>
      <c r="C23" s="2"/>
      <c r="D23" s="3"/>
      <c r="E23" s="58"/>
      <c r="F23" s="231" t="s">
        <v>22</v>
      </c>
      <c r="G23" s="232"/>
      <c r="H23" s="29">
        <f>SUM(H20:H22)</f>
        <v>44917.808881049226</v>
      </c>
    </row>
    <row r="24" spans="1:9" s="18" customFormat="1" x14ac:dyDescent="0.2">
      <c r="A24" s="94"/>
      <c r="B24" s="78"/>
      <c r="C24" s="2"/>
      <c r="D24" s="3"/>
      <c r="E24" s="9"/>
      <c r="F24" s="32"/>
      <c r="G24" s="31"/>
      <c r="H24" s="90"/>
    </row>
    <row r="25" spans="1:9" s="18" customFormat="1" x14ac:dyDescent="0.2">
      <c r="A25" s="95">
        <v>4</v>
      </c>
      <c r="B25" s="79"/>
      <c r="C25" s="13" t="s">
        <v>8</v>
      </c>
      <c r="D25" s="13"/>
      <c r="E25" s="11"/>
      <c r="F25" s="15"/>
      <c r="G25" s="15"/>
      <c r="H25" s="92"/>
    </row>
    <row r="26" spans="1:9" s="18" customFormat="1" ht="26.25" thickBot="1" x14ac:dyDescent="0.25">
      <c r="A26" s="96">
        <v>4.0999999999999996</v>
      </c>
      <c r="B26" s="75">
        <v>88489</v>
      </c>
      <c r="C26" s="42" t="s">
        <v>52</v>
      </c>
      <c r="D26" s="43" t="s">
        <v>4</v>
      </c>
      <c r="E26" s="24">
        <f>E20*2+E21*2</f>
        <v>898.2</v>
      </c>
      <c r="F26" s="46">
        <v>12.73</v>
      </c>
      <c r="G26" s="33">
        <f>F26*$H$4+F26</f>
        <v>15.774832283301038</v>
      </c>
      <c r="H26" s="89">
        <f t="shared" ref="H26" si="6">E26*G26</f>
        <v>14168.954356860993</v>
      </c>
    </row>
    <row r="27" spans="1:9" s="18" customFormat="1" ht="13.5" thickBot="1" x14ac:dyDescent="0.25">
      <c r="A27" s="96"/>
      <c r="B27" s="75"/>
      <c r="C27" s="42"/>
      <c r="D27" s="43"/>
      <c r="E27" s="24"/>
      <c r="F27" s="231" t="s">
        <v>22</v>
      </c>
      <c r="G27" s="232"/>
      <c r="H27" s="29">
        <f>SUM(H26:H26)</f>
        <v>14168.954356860993</v>
      </c>
    </row>
    <row r="28" spans="1:9" s="18" customFormat="1" x14ac:dyDescent="0.2">
      <c r="A28" s="94"/>
      <c r="B28" s="78"/>
      <c r="C28" s="2"/>
      <c r="D28" s="3"/>
      <c r="E28" s="9"/>
      <c r="F28" s="32"/>
      <c r="G28" s="31"/>
      <c r="H28" s="90"/>
    </row>
    <row r="29" spans="1:9" s="18" customFormat="1" x14ac:dyDescent="0.2">
      <c r="A29" s="95">
        <v>5</v>
      </c>
      <c r="B29" s="80"/>
      <c r="C29" s="13" t="s">
        <v>108</v>
      </c>
      <c r="D29" s="13"/>
      <c r="E29" s="11"/>
      <c r="F29" s="15"/>
      <c r="G29" s="15"/>
      <c r="H29" s="92"/>
    </row>
    <row r="30" spans="1:9" s="18" customFormat="1" ht="38.25" x14ac:dyDescent="0.2">
      <c r="A30" s="114">
        <v>5.0999999999999996</v>
      </c>
      <c r="B30" s="75">
        <v>92580</v>
      </c>
      <c r="C30" s="42" t="s">
        <v>109</v>
      </c>
      <c r="D30" s="43" t="s">
        <v>2</v>
      </c>
      <c r="E30" s="205">
        <f>63*2*1.1</f>
        <v>138.60000000000002</v>
      </c>
      <c r="F30" s="206">
        <v>35.68</v>
      </c>
      <c r="G30" s="203">
        <f t="shared" ref="G30:G32" si="7">F30*$H$4+F30</f>
        <v>44.214141073698428</v>
      </c>
      <c r="H30" s="204">
        <f t="shared" ref="H30:H32" si="8">E30*G30</f>
        <v>6128.0799528146035</v>
      </c>
    </row>
    <row r="31" spans="1:9" s="18" customFormat="1" ht="25.5" x14ac:dyDescent="0.2">
      <c r="A31" s="114">
        <v>5.2</v>
      </c>
      <c r="B31" s="75">
        <v>92581</v>
      </c>
      <c r="C31" s="42" t="s">
        <v>110</v>
      </c>
      <c r="D31" s="43" t="s">
        <v>2</v>
      </c>
      <c r="E31" s="205">
        <f>E30-E32</f>
        <v>78.100000000000023</v>
      </c>
      <c r="F31" s="206">
        <v>41.88</v>
      </c>
      <c r="G31" s="203">
        <f t="shared" si="7"/>
        <v>51.897091596594464</v>
      </c>
      <c r="H31" s="204">
        <f t="shared" si="8"/>
        <v>4053.1628536940289</v>
      </c>
    </row>
    <row r="32" spans="1:9" s="18" customFormat="1" ht="13.5" thickBot="1" x14ac:dyDescent="0.25">
      <c r="A32" s="114">
        <v>5.3</v>
      </c>
      <c r="B32" s="75" t="s">
        <v>111</v>
      </c>
      <c r="C32" s="42" t="s">
        <v>112</v>
      </c>
      <c r="D32" s="43" t="s">
        <v>2</v>
      </c>
      <c r="E32" s="205">
        <f>27.5*2*1.1</f>
        <v>60.500000000000007</v>
      </c>
      <c r="F32" s="206">
        <v>55.42</v>
      </c>
      <c r="G32" s="203">
        <f t="shared" si="7"/>
        <v>68.675664190144815</v>
      </c>
      <c r="H32" s="204">
        <f t="shared" si="8"/>
        <v>4154.8776835037615</v>
      </c>
    </row>
    <row r="33" spans="1:21" s="18" customFormat="1" ht="13.5" thickBot="1" x14ac:dyDescent="0.25">
      <c r="A33" s="207"/>
      <c r="B33" s="78"/>
      <c r="C33" s="208"/>
      <c r="D33" s="209"/>
      <c r="E33" s="210"/>
      <c r="F33" s="231" t="s">
        <v>22</v>
      </c>
      <c r="G33" s="232"/>
      <c r="H33" s="29">
        <f>SUM(H30:H32)</f>
        <v>14336.120490012392</v>
      </c>
    </row>
    <row r="34" spans="1:21" s="18" customFormat="1" x14ac:dyDescent="0.2">
      <c r="A34" s="94"/>
      <c r="B34" s="78"/>
      <c r="C34" s="2"/>
      <c r="D34" s="3"/>
      <c r="E34" s="9"/>
      <c r="F34" s="32"/>
      <c r="G34" s="31"/>
      <c r="H34" s="90"/>
    </row>
    <row r="35" spans="1:21" s="18" customFormat="1" x14ac:dyDescent="0.2">
      <c r="A35" s="95">
        <v>6</v>
      </c>
      <c r="B35" s="80"/>
      <c r="C35" s="13" t="s">
        <v>31</v>
      </c>
      <c r="D35" s="13"/>
      <c r="E35" s="11"/>
      <c r="F35" s="15"/>
      <c r="G35" s="15"/>
      <c r="H35" s="92"/>
    </row>
    <row r="36" spans="1:21" s="18" customFormat="1" ht="26.25" thickBot="1" x14ac:dyDescent="0.25">
      <c r="A36" s="97" t="s">
        <v>46</v>
      </c>
      <c r="B36" s="28">
        <v>68054</v>
      </c>
      <c r="C36" s="42" t="s">
        <v>113</v>
      </c>
      <c r="D36" s="43" t="s">
        <v>2</v>
      </c>
      <c r="E36" s="24">
        <f>1.6*3*2</f>
        <v>9.6000000000000014</v>
      </c>
      <c r="F36" s="46">
        <v>228.26</v>
      </c>
      <c r="G36" s="33">
        <f t="shared" ref="G36" si="9">F36*$H$4+F36</f>
        <v>282.85649779939467</v>
      </c>
      <c r="H36" s="89">
        <f t="shared" ref="H36" si="10">E36*G36</f>
        <v>2715.4223788741892</v>
      </c>
    </row>
    <row r="37" spans="1:21" s="18" customFormat="1" ht="13.5" thickBot="1" x14ac:dyDescent="0.25">
      <c r="A37" s="97"/>
      <c r="B37" s="77"/>
      <c r="C37" s="42"/>
      <c r="D37" s="22"/>
      <c r="E37" s="57"/>
      <c r="F37" s="231" t="s">
        <v>22</v>
      </c>
      <c r="G37" s="232"/>
      <c r="H37" s="29">
        <f>SUM(H36:H36)</f>
        <v>2715.4223788741892</v>
      </c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</row>
    <row r="38" spans="1:21" s="19" customFormat="1" ht="13.5" thickBot="1" x14ac:dyDescent="0.25">
      <c r="A38" s="98"/>
      <c r="B38" s="81"/>
      <c r="C38" s="50"/>
      <c r="D38" s="51"/>
      <c r="E38" s="61"/>
      <c r="F38" s="52"/>
      <c r="G38" s="53"/>
      <c r="H38" s="99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</row>
    <row r="39" spans="1:21" ht="18.75" thickBot="1" x14ac:dyDescent="0.25">
      <c r="A39" s="211" t="s">
        <v>29</v>
      </c>
      <c r="B39" s="212"/>
      <c r="C39" s="212"/>
      <c r="D39" s="212"/>
      <c r="E39" s="212"/>
      <c r="F39" s="212"/>
      <c r="G39" s="213"/>
      <c r="H39" s="36">
        <f>H37+H33+H27+H23+H17+H11</f>
        <v>95381.188798122763</v>
      </c>
      <c r="I39" s="54"/>
    </row>
    <row r="40" spans="1:21" ht="15.75" x14ac:dyDescent="0.2">
      <c r="A40" s="34"/>
      <c r="B40" s="82"/>
      <c r="C40" s="35"/>
      <c r="D40" s="35"/>
      <c r="E40" s="62"/>
      <c r="F40" s="35"/>
      <c r="G40" s="35"/>
      <c r="H40" s="100"/>
      <c r="I40" s="101"/>
    </row>
  </sheetData>
  <mergeCells count="22">
    <mergeCell ref="F37:G37"/>
    <mergeCell ref="F27:G27"/>
    <mergeCell ref="B4:F4"/>
    <mergeCell ref="B5:F5"/>
    <mergeCell ref="F23:G23"/>
    <mergeCell ref="F33:G33"/>
    <mergeCell ref="A39:G39"/>
    <mergeCell ref="C13:E13"/>
    <mergeCell ref="A1:H1"/>
    <mergeCell ref="B3:F3"/>
    <mergeCell ref="B2:F2"/>
    <mergeCell ref="A6:H6"/>
    <mergeCell ref="A7:A8"/>
    <mergeCell ref="B7:B8"/>
    <mergeCell ref="C7:C8"/>
    <mergeCell ref="D7:D8"/>
    <mergeCell ref="E7:E8"/>
    <mergeCell ref="F7:F8"/>
    <mergeCell ref="G7:G8"/>
    <mergeCell ref="H7:H8"/>
    <mergeCell ref="F11:G11"/>
    <mergeCell ref="F17:G17"/>
  </mergeCells>
  <printOptions horizontalCentered="1"/>
  <pageMargins left="0.25" right="0.25" top="0.75" bottom="0.75" header="0.3" footer="0.3"/>
  <pageSetup paperSize="9" scale="70" orientation="portrait" r:id="rId1"/>
  <headerFooter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9"/>
  <sheetViews>
    <sheetView topLeftCell="A4" workbookViewId="0">
      <selection activeCell="J20" sqref="J20"/>
    </sheetView>
  </sheetViews>
  <sheetFormatPr defaultRowHeight="12.75" x14ac:dyDescent="0.2"/>
  <cols>
    <col min="1" max="1" width="4.5703125" customWidth="1"/>
    <col min="2" max="2" width="10.85546875" customWidth="1"/>
    <col min="3" max="3" width="12.140625" customWidth="1"/>
    <col min="4" max="4" width="11.42578125" customWidth="1"/>
    <col min="5" max="5" width="17.5703125" style="66" customWidth="1"/>
    <col min="6" max="6" width="8.140625" style="67" customWidth="1"/>
    <col min="7" max="7" width="17.5703125" style="67" customWidth="1"/>
    <col min="8" max="8" width="8.42578125" style="67" customWidth="1"/>
    <col min="9" max="9" width="14.28515625" bestFit="1" customWidth="1"/>
    <col min="10" max="10" width="8.28515625" bestFit="1" customWidth="1"/>
    <col min="12" max="12" width="9.7109375" bestFit="1" customWidth="1"/>
  </cols>
  <sheetData>
    <row r="1" spans="1:21" ht="24" customHeight="1" x14ac:dyDescent="0.2">
      <c r="A1" s="216" t="s">
        <v>15</v>
      </c>
      <c r="B1" s="217"/>
      <c r="C1" s="217"/>
      <c r="D1" s="217"/>
      <c r="E1" s="217"/>
      <c r="F1" s="217"/>
      <c r="G1" s="217"/>
      <c r="H1" s="217"/>
      <c r="I1" s="251"/>
      <c r="J1" s="252"/>
      <c r="L1" s="244"/>
      <c r="M1" s="244"/>
      <c r="N1" s="244"/>
      <c r="O1" s="244"/>
      <c r="P1" s="244"/>
      <c r="Q1" s="244"/>
      <c r="R1" s="7"/>
      <c r="S1" s="4"/>
      <c r="T1" s="4"/>
      <c r="U1" s="4"/>
    </row>
    <row r="2" spans="1:21" ht="19.5" customHeight="1" x14ac:dyDescent="0.2">
      <c r="A2" s="246" t="str">
        <f>Orçamento!A2</f>
        <v>MUNICÍPIO</v>
      </c>
      <c r="B2" s="247"/>
      <c r="C2" s="250" t="str">
        <f>Orçamento!B2</f>
        <v>CAMPO ALEGRE</v>
      </c>
      <c r="D2" s="250"/>
      <c r="E2" s="250"/>
      <c r="F2" s="250"/>
      <c r="G2" s="250"/>
      <c r="H2" s="250"/>
      <c r="I2" s="253"/>
      <c r="J2" s="254"/>
      <c r="L2" s="245"/>
      <c r="M2" s="245"/>
      <c r="N2" s="245"/>
      <c r="O2" s="245"/>
      <c r="P2" s="245"/>
      <c r="Q2" s="245"/>
      <c r="R2" s="5"/>
      <c r="S2" s="4"/>
      <c r="T2" s="4"/>
      <c r="U2" s="4"/>
    </row>
    <row r="3" spans="1:21" ht="21" customHeight="1" x14ac:dyDescent="0.2">
      <c r="A3" s="246" t="str">
        <f>Orçamento!A3</f>
        <v>PROJETO:</v>
      </c>
      <c r="B3" s="247"/>
      <c r="C3" s="247" t="str">
        <f>Orçamento!B3</f>
        <v>Reforma da Escola Paulo Fuckner</v>
      </c>
      <c r="D3" s="247"/>
      <c r="E3" s="247"/>
      <c r="F3" s="247"/>
      <c r="G3" s="247"/>
      <c r="H3" s="247"/>
      <c r="I3" s="253"/>
      <c r="J3" s="254"/>
      <c r="L3" s="1"/>
      <c r="M3" s="1"/>
      <c r="N3" s="1"/>
      <c r="O3" s="1"/>
      <c r="P3" s="1"/>
      <c r="Q3" s="1"/>
      <c r="R3" s="5"/>
      <c r="S3" s="4"/>
      <c r="T3" s="4"/>
      <c r="U3" s="4"/>
    </row>
    <row r="4" spans="1:21" ht="16.5" customHeight="1" x14ac:dyDescent="0.2">
      <c r="A4" s="248" t="str">
        <f>Orçamento!A4</f>
        <v>LOCALIZAÇÃO:</v>
      </c>
      <c r="B4" s="249"/>
      <c r="C4" s="247" t="str">
        <f>Orçamento!B4</f>
        <v>Rodovia 020</v>
      </c>
      <c r="D4" s="247"/>
      <c r="E4" s="247"/>
      <c r="F4" s="247"/>
      <c r="G4" s="247"/>
      <c r="H4" s="247"/>
      <c r="I4" s="103">
        <f>Orçamento!H3</f>
        <v>43878</v>
      </c>
      <c r="J4" s="106"/>
      <c r="L4" s="1"/>
      <c r="M4" s="1"/>
      <c r="N4" s="1"/>
      <c r="O4" s="1"/>
      <c r="P4" s="1"/>
      <c r="Q4" s="1"/>
      <c r="R4" s="5"/>
      <c r="S4" s="4"/>
      <c r="T4" s="4"/>
      <c r="U4" s="4"/>
    </row>
    <row r="5" spans="1:21" ht="14.25" customHeight="1" x14ac:dyDescent="0.2">
      <c r="A5" s="266" t="s">
        <v>16</v>
      </c>
      <c r="B5" s="267" t="s">
        <v>17</v>
      </c>
      <c r="C5" s="267"/>
      <c r="D5" s="267"/>
      <c r="E5" s="237" t="s">
        <v>9</v>
      </c>
      <c r="F5" s="237"/>
      <c r="G5" s="237"/>
      <c r="H5" s="237"/>
      <c r="I5" s="274" t="s">
        <v>10</v>
      </c>
      <c r="J5" s="275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4.25" customHeight="1" x14ac:dyDescent="0.2">
      <c r="A6" s="266"/>
      <c r="B6" s="267"/>
      <c r="C6" s="267"/>
      <c r="D6" s="267"/>
      <c r="E6" s="276" t="s">
        <v>6</v>
      </c>
      <c r="F6" s="276"/>
      <c r="G6" s="276" t="s">
        <v>7</v>
      </c>
      <c r="H6" s="276"/>
      <c r="I6" s="274"/>
      <c r="J6" s="275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40" customFormat="1" x14ac:dyDescent="0.2">
      <c r="A7" s="266"/>
      <c r="B7" s="267"/>
      <c r="C7" s="267"/>
      <c r="D7" s="267"/>
      <c r="E7" s="72" t="s">
        <v>11</v>
      </c>
      <c r="F7" s="73" t="s">
        <v>12</v>
      </c>
      <c r="G7" s="73" t="s">
        <v>11</v>
      </c>
      <c r="H7" s="73" t="s">
        <v>12</v>
      </c>
      <c r="I7" s="73" t="s">
        <v>11</v>
      </c>
      <c r="J7" s="39" t="s">
        <v>12</v>
      </c>
      <c r="L7" s="41"/>
      <c r="M7" s="41"/>
      <c r="N7" s="41"/>
      <c r="O7" s="41"/>
      <c r="P7" s="41"/>
      <c r="Q7" s="41"/>
      <c r="R7" s="41"/>
      <c r="S7" s="41"/>
      <c r="T7" s="41"/>
      <c r="U7" s="41"/>
    </row>
    <row r="8" spans="1:21" s="40" customFormat="1" x14ac:dyDescent="0.2">
      <c r="A8" s="271" t="str">
        <f>Orçamento!A6</f>
        <v>QUADRA E FECHAMENTOS COM VIDROS E ALVENARIAAS</v>
      </c>
      <c r="B8" s="272"/>
      <c r="C8" s="272"/>
      <c r="D8" s="272"/>
      <c r="E8" s="272"/>
      <c r="F8" s="272"/>
      <c r="G8" s="272"/>
      <c r="H8" s="272"/>
      <c r="I8" s="272"/>
      <c r="J8" s="273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1" ht="18" customHeight="1" x14ac:dyDescent="0.2">
      <c r="A9" s="109">
        <v>1</v>
      </c>
      <c r="B9" s="242" t="str">
        <f>Orçamento!C9</f>
        <v>SERVIÇOS INICIAIS</v>
      </c>
      <c r="C9" s="243"/>
      <c r="D9" s="243"/>
      <c r="E9" s="108">
        <f t="shared" ref="E9:E12" si="0">F9*$I9</f>
        <v>712.43256687473922</v>
      </c>
      <c r="F9" s="64">
        <v>1</v>
      </c>
      <c r="G9" s="110"/>
      <c r="H9" s="65"/>
      <c r="I9" s="111">
        <f>Orçamento!H11</f>
        <v>712.43256687473922</v>
      </c>
      <c r="J9" s="37">
        <f t="shared" ref="J9:J14" si="1">I9/$I$17</f>
        <v>7.4693194313464138E-3</v>
      </c>
      <c r="L9" s="45"/>
      <c r="M9" s="4"/>
      <c r="N9" s="4"/>
      <c r="O9" s="4"/>
      <c r="P9" s="4"/>
      <c r="Q9" s="4"/>
      <c r="R9" s="4"/>
      <c r="S9" s="4"/>
      <c r="T9" s="4"/>
      <c r="U9" s="4"/>
    </row>
    <row r="10" spans="1:21" ht="24" customHeight="1" x14ac:dyDescent="0.2">
      <c r="A10" s="109">
        <v>2</v>
      </c>
      <c r="B10" s="268" t="str">
        <f>Orçamento!C13</f>
        <v>CINTAS E PILARETES DE CONCRETO ARMADO</v>
      </c>
      <c r="C10" s="269"/>
      <c r="D10" s="270"/>
      <c r="E10" s="108">
        <f t="shared" si="0"/>
        <v>18530.450124451221</v>
      </c>
      <c r="F10" s="64">
        <v>1</v>
      </c>
      <c r="G10" s="110"/>
      <c r="H10" s="65"/>
      <c r="I10" s="111">
        <f>Orçamento!H17</f>
        <v>18530.450124451221</v>
      </c>
      <c r="J10" s="37">
        <f t="shared" si="1"/>
        <v>0.19427782729434723</v>
      </c>
      <c r="L10" s="45"/>
      <c r="M10" s="4"/>
      <c r="N10" s="4"/>
      <c r="O10" s="4"/>
      <c r="P10" s="4"/>
      <c r="Q10" s="4"/>
      <c r="R10" s="4"/>
      <c r="S10" s="4"/>
      <c r="T10" s="4"/>
      <c r="U10" s="4"/>
    </row>
    <row r="11" spans="1:21" ht="18" customHeight="1" x14ac:dyDescent="0.2">
      <c r="A11" s="109">
        <v>3</v>
      </c>
      <c r="B11" s="268" t="str">
        <f>Orçamento!C19</f>
        <v>ALVENARIA DE VEDAÇÃO</v>
      </c>
      <c r="C11" s="269"/>
      <c r="D11" s="270"/>
      <c r="E11" s="108">
        <f t="shared" si="0"/>
        <v>44917.808881049226</v>
      </c>
      <c r="F11" s="64">
        <v>1</v>
      </c>
      <c r="G11" s="110"/>
      <c r="H11" s="65"/>
      <c r="I11" s="111">
        <f>Orçamento!H23</f>
        <v>44917.808881049226</v>
      </c>
      <c r="J11" s="37">
        <f t="shared" si="1"/>
        <v>0.47092943007996219</v>
      </c>
      <c r="L11" s="45"/>
      <c r="M11" s="4"/>
      <c r="N11" s="4"/>
      <c r="O11" s="4"/>
      <c r="P11" s="4"/>
      <c r="Q11" s="4"/>
      <c r="R11" s="4"/>
      <c r="S11" s="4"/>
      <c r="T11" s="4"/>
      <c r="U11" s="4"/>
    </row>
    <row r="12" spans="1:21" ht="18" customHeight="1" x14ac:dyDescent="0.2">
      <c r="A12" s="109">
        <v>4</v>
      </c>
      <c r="B12" s="242" t="str">
        <f>Orçamento!C25</f>
        <v>PINTURA</v>
      </c>
      <c r="C12" s="243"/>
      <c r="D12" s="243"/>
      <c r="E12" s="108">
        <f t="shared" si="0"/>
        <v>7084.4771784304967</v>
      </c>
      <c r="F12" s="64">
        <v>0.5</v>
      </c>
      <c r="G12" s="110">
        <f t="shared" ref="G12" si="2">H12*$I12</f>
        <v>7084.4771784304967</v>
      </c>
      <c r="H12" s="65">
        <v>0.5</v>
      </c>
      <c r="I12" s="111">
        <f>Orçamento!H27</f>
        <v>14168.954356860993</v>
      </c>
      <c r="J12" s="37">
        <f t="shared" si="1"/>
        <v>0.14855082574877551</v>
      </c>
      <c r="L12" s="45"/>
    </row>
    <row r="13" spans="1:21" ht="18" customHeight="1" x14ac:dyDescent="0.2">
      <c r="A13" s="109">
        <v>4</v>
      </c>
      <c r="B13" s="242" t="str">
        <f>Orçamento!C29</f>
        <v>FECHAMENTOS LATERAIS</v>
      </c>
      <c r="C13" s="243"/>
      <c r="D13" s="243"/>
      <c r="E13" s="108"/>
      <c r="F13" s="64"/>
      <c r="G13" s="110">
        <f t="shared" ref="G13" si="3">H13*$I13</f>
        <v>14336.120490012392</v>
      </c>
      <c r="H13" s="65">
        <v>1</v>
      </c>
      <c r="I13" s="111">
        <f>Orçamento!H33</f>
        <v>14336.120490012392</v>
      </c>
      <c r="J13" s="37">
        <f t="shared" si="1"/>
        <v>0.15030343687952175</v>
      </c>
      <c r="L13" s="45"/>
    </row>
    <row r="14" spans="1:21" ht="18" customHeight="1" x14ac:dyDescent="0.2">
      <c r="A14" s="109">
        <v>6</v>
      </c>
      <c r="B14" s="242" t="str">
        <f>Orçamento!C35</f>
        <v>ESQUADRIAS</v>
      </c>
      <c r="C14" s="243"/>
      <c r="D14" s="243"/>
      <c r="E14" s="108"/>
      <c r="F14" s="64"/>
      <c r="G14" s="110">
        <f>H14*$I14</f>
        <v>2715.4223788741892</v>
      </c>
      <c r="H14" s="65">
        <v>1</v>
      </c>
      <c r="I14" s="111">
        <f>Orçamento!H37</f>
        <v>2715.4223788741892</v>
      </c>
      <c r="J14" s="37">
        <f t="shared" si="1"/>
        <v>2.8469160566046883E-2</v>
      </c>
      <c r="L14" s="45"/>
    </row>
    <row r="15" spans="1:21" ht="15" customHeight="1" x14ac:dyDescent="0.2">
      <c r="A15" s="109"/>
      <c r="B15" s="263"/>
      <c r="C15" s="264"/>
      <c r="D15" s="265"/>
      <c r="E15" s="108"/>
      <c r="F15" s="64"/>
      <c r="G15" s="110"/>
      <c r="H15" s="65"/>
      <c r="I15" s="111"/>
      <c r="J15" s="37"/>
      <c r="L15" s="45"/>
    </row>
    <row r="16" spans="1:21" s="6" customFormat="1" ht="14.1" customHeight="1" x14ac:dyDescent="0.2">
      <c r="A16" s="236" t="s">
        <v>13</v>
      </c>
      <c r="B16" s="237"/>
      <c r="C16" s="237"/>
      <c r="D16" s="237"/>
      <c r="E16" s="104">
        <f>SUM(E9:E14)</f>
        <v>71245.168750805678</v>
      </c>
      <c r="F16" s="105">
        <f>E16/$I$17</f>
        <v>0.7469519896800435</v>
      </c>
      <c r="G16" s="104">
        <f>SUM(G9:G14)</f>
        <v>24136.020047317077</v>
      </c>
      <c r="H16" s="105">
        <f>G16/$I$17</f>
        <v>0.25304801031995638</v>
      </c>
      <c r="I16" s="38">
        <f>SUM(I9:I14)</f>
        <v>95381.188798122763</v>
      </c>
      <c r="J16" s="107">
        <f>SUM(J9:J14)</f>
        <v>1</v>
      </c>
    </row>
    <row r="17" spans="1:10" s="6" customFormat="1" ht="14.1" customHeight="1" x14ac:dyDescent="0.2">
      <c r="A17" s="236" t="s">
        <v>14</v>
      </c>
      <c r="B17" s="237"/>
      <c r="C17" s="237"/>
      <c r="D17" s="237"/>
      <c r="E17" s="104">
        <f>E16</f>
        <v>71245.168750805678</v>
      </c>
      <c r="F17" s="105">
        <f>F16</f>
        <v>0.7469519896800435</v>
      </c>
      <c r="G17" s="104">
        <f>G16+E17</f>
        <v>95381.188798122748</v>
      </c>
      <c r="H17" s="105">
        <f>F17+H16</f>
        <v>0.99999999999999989</v>
      </c>
      <c r="I17" s="240">
        <f>I16</f>
        <v>95381.188798122763</v>
      </c>
      <c r="J17" s="241"/>
    </row>
    <row r="18" spans="1:10" ht="21" customHeight="1" x14ac:dyDescent="0.2">
      <c r="A18" s="238" t="s">
        <v>40</v>
      </c>
      <c r="B18" s="239"/>
      <c r="C18" s="239"/>
      <c r="D18" s="239"/>
      <c r="E18" s="257" t="s">
        <v>42</v>
      </c>
      <c r="F18" s="258"/>
      <c r="G18" s="258"/>
      <c r="H18" s="258"/>
      <c r="I18" s="258"/>
      <c r="J18" s="259"/>
    </row>
    <row r="19" spans="1:10" ht="21" customHeight="1" thickBot="1" x14ac:dyDescent="0.25">
      <c r="A19" s="255" t="s">
        <v>41</v>
      </c>
      <c r="B19" s="256"/>
      <c r="C19" s="256"/>
      <c r="D19" s="256"/>
      <c r="E19" s="260" t="s">
        <v>43</v>
      </c>
      <c r="F19" s="261"/>
      <c r="G19" s="261"/>
      <c r="H19" s="261"/>
      <c r="I19" s="261"/>
      <c r="J19" s="262"/>
    </row>
  </sheetData>
  <mergeCells count="31">
    <mergeCell ref="A19:D19"/>
    <mergeCell ref="E18:J18"/>
    <mergeCell ref="E19:J19"/>
    <mergeCell ref="B15:D15"/>
    <mergeCell ref="A1:H1"/>
    <mergeCell ref="A5:A7"/>
    <mergeCell ref="B5:D7"/>
    <mergeCell ref="E5:H5"/>
    <mergeCell ref="B9:D9"/>
    <mergeCell ref="B10:D10"/>
    <mergeCell ref="B11:D11"/>
    <mergeCell ref="A8:J8"/>
    <mergeCell ref="I5:J6"/>
    <mergeCell ref="E6:F6"/>
    <mergeCell ref="B13:D13"/>
    <mergeCell ref="G6:H6"/>
    <mergeCell ref="L1:Q1"/>
    <mergeCell ref="L2:Q2"/>
    <mergeCell ref="A3:B3"/>
    <mergeCell ref="A2:B2"/>
    <mergeCell ref="A4:B4"/>
    <mergeCell ref="C2:H2"/>
    <mergeCell ref="C3:H3"/>
    <mergeCell ref="C4:H4"/>
    <mergeCell ref="I1:J3"/>
    <mergeCell ref="A16:D16"/>
    <mergeCell ref="A17:D17"/>
    <mergeCell ref="A18:D18"/>
    <mergeCell ref="I17:J17"/>
    <mergeCell ref="B12:D12"/>
    <mergeCell ref="B14:D14"/>
  </mergeCells>
  <phoneticPr fontId="14" type="noConversion"/>
  <printOptions horizontalCentered="1"/>
  <pageMargins left="0.27559055118110237" right="0.15748031496062992" top="0.62992125984251968" bottom="0.43307086614173229" header="0.11811023622047245" footer="0.43307086614173229"/>
  <pageSetup paperSize="9" scale="75" orientation="portrait" r:id="rId1"/>
  <headerFooter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6124E-930D-4B95-88BA-FC39D1EEE700}">
  <dimension ref="B1:J47"/>
  <sheetViews>
    <sheetView topLeftCell="A4" workbookViewId="0">
      <selection activeCell="G29" sqref="G29"/>
    </sheetView>
  </sheetViews>
  <sheetFormatPr defaultRowHeight="15" x14ac:dyDescent="0.25"/>
  <cols>
    <col min="1" max="1" width="2.5703125" customWidth="1"/>
    <col min="2" max="2" width="13.85546875" customWidth="1"/>
    <col min="3" max="3" width="7.5703125" style="156" customWidth="1"/>
    <col min="4" max="4" width="7.5703125" style="175" customWidth="1"/>
    <col min="5" max="7" width="11.42578125" style="167" customWidth="1"/>
    <col min="9" max="10" width="4.28515625" style="120" customWidth="1"/>
  </cols>
  <sheetData>
    <row r="1" spans="2:10" s="115" customFormat="1" x14ac:dyDescent="0.25">
      <c r="B1" s="283" t="s">
        <v>53</v>
      </c>
      <c r="C1" s="283"/>
      <c r="D1" s="283"/>
      <c r="E1" s="283"/>
      <c r="F1" s="283"/>
      <c r="G1" s="283"/>
      <c r="I1" s="116"/>
      <c r="J1" s="116"/>
    </row>
    <row r="2" spans="2:10" s="115" customFormat="1" x14ac:dyDescent="0.25">
      <c r="C2" s="117"/>
      <c r="D2" s="118"/>
      <c r="E2" s="119"/>
      <c r="F2" s="119"/>
      <c r="G2" s="119"/>
      <c r="I2" s="116"/>
      <c r="J2" s="116"/>
    </row>
    <row r="3" spans="2:10" s="115" customFormat="1" x14ac:dyDescent="0.25">
      <c r="C3" s="117"/>
      <c r="D3" s="118"/>
      <c r="E3" s="119"/>
      <c r="F3" s="119"/>
      <c r="G3" s="119"/>
      <c r="I3" s="116"/>
      <c r="J3" s="116"/>
    </row>
    <row r="4" spans="2:10" s="115" customFormat="1" x14ac:dyDescent="0.25">
      <c r="C4" s="117"/>
      <c r="D4" s="118"/>
      <c r="E4" s="119"/>
      <c r="F4" s="119"/>
      <c r="G4" s="119"/>
      <c r="I4" s="116"/>
      <c r="J4" s="116"/>
    </row>
    <row r="6" spans="2:10" x14ac:dyDescent="0.25">
      <c r="B6" s="284" t="s">
        <v>54</v>
      </c>
      <c r="C6" s="285"/>
      <c r="D6" s="285"/>
      <c r="E6" s="285"/>
      <c r="F6" s="285"/>
      <c r="G6" s="286"/>
    </row>
    <row r="7" spans="2:10" s="126" customFormat="1" ht="11.25" x14ac:dyDescent="0.2">
      <c r="B7" s="121"/>
      <c r="C7" s="122"/>
      <c r="D7" s="123"/>
      <c r="E7" s="124"/>
      <c r="F7" s="124"/>
      <c r="G7" s="125"/>
      <c r="I7" s="127"/>
      <c r="J7" s="127"/>
    </row>
    <row r="8" spans="2:10" x14ac:dyDescent="0.25">
      <c r="B8" s="128"/>
      <c r="C8" s="129" t="s">
        <v>55</v>
      </c>
      <c r="D8" s="287" t="s">
        <v>56</v>
      </c>
      <c r="E8" s="287"/>
      <c r="F8" s="287"/>
      <c r="G8" s="288"/>
    </row>
    <row r="9" spans="2:10" s="126" customFormat="1" ht="11.25" x14ac:dyDescent="0.2">
      <c r="B9" s="130"/>
      <c r="C9" s="131"/>
      <c r="D9" s="132"/>
      <c r="E9" s="133"/>
      <c r="F9" s="133"/>
      <c r="G9" s="134"/>
      <c r="I9" s="127"/>
      <c r="J9" s="127"/>
    </row>
    <row r="10" spans="2:10" x14ac:dyDescent="0.25">
      <c r="B10" s="128"/>
      <c r="C10" s="129" t="s">
        <v>57</v>
      </c>
      <c r="D10" s="287" t="s">
        <v>105</v>
      </c>
      <c r="E10" s="287"/>
      <c r="F10" s="287"/>
      <c r="G10" s="288"/>
    </row>
    <row r="11" spans="2:10" x14ac:dyDescent="0.25">
      <c r="B11" s="128"/>
      <c r="C11" s="129" t="s">
        <v>58</v>
      </c>
      <c r="D11" s="287" t="s">
        <v>59</v>
      </c>
      <c r="E11" s="287"/>
      <c r="F11" s="287"/>
      <c r="G11" s="288"/>
    </row>
    <row r="12" spans="2:10" s="126" customFormat="1" ht="11.25" x14ac:dyDescent="0.2">
      <c r="B12" s="135"/>
      <c r="C12" s="136"/>
      <c r="D12" s="137"/>
      <c r="E12" s="138"/>
      <c r="F12" s="138"/>
      <c r="G12" s="139"/>
      <c r="I12" s="127"/>
      <c r="J12" s="127"/>
    </row>
    <row r="13" spans="2:10" s="126" customFormat="1" ht="11.25" x14ac:dyDescent="0.2">
      <c r="B13" s="121"/>
      <c r="C13" s="122"/>
      <c r="D13" s="123"/>
      <c r="E13" s="124"/>
      <c r="F13" s="124"/>
      <c r="G13" s="125"/>
      <c r="I13" s="127"/>
      <c r="J13" s="127"/>
    </row>
    <row r="14" spans="2:10" x14ac:dyDescent="0.25">
      <c r="B14" s="128"/>
      <c r="C14" s="129" t="s">
        <v>60</v>
      </c>
      <c r="D14" s="277" t="s">
        <v>91</v>
      </c>
      <c r="E14" s="277"/>
      <c r="F14" s="277"/>
      <c r="G14" s="278"/>
      <c r="I14" s="120">
        <f>MATCH(D14,INDEX(Tabela,0,1),0)</f>
        <v>1</v>
      </c>
    </row>
    <row r="15" spans="2:10" s="126" customFormat="1" ht="11.25" x14ac:dyDescent="0.2">
      <c r="B15" s="130"/>
      <c r="C15" s="131"/>
      <c r="D15" s="140"/>
      <c r="E15" s="133"/>
      <c r="F15" s="133"/>
      <c r="G15" s="141"/>
      <c r="I15" s="127"/>
      <c r="J15" s="127"/>
    </row>
    <row r="16" spans="2:10" x14ac:dyDescent="0.25">
      <c r="B16" s="128"/>
      <c r="C16" s="129" t="s">
        <v>62</v>
      </c>
      <c r="D16" s="277" t="s">
        <v>101</v>
      </c>
      <c r="E16" s="277"/>
      <c r="F16" s="277"/>
      <c r="G16" s="278"/>
      <c r="I16" s="120">
        <f>IF(LEFT(D16,3)="sem",2,4)</f>
        <v>4</v>
      </c>
      <c r="J16" s="120">
        <f>1+I16</f>
        <v>5</v>
      </c>
    </row>
    <row r="17" spans="2:10" s="126" customFormat="1" ht="11.25" x14ac:dyDescent="0.2">
      <c r="B17" s="135"/>
      <c r="C17" s="136"/>
      <c r="D17" s="137"/>
      <c r="E17" s="138"/>
      <c r="F17" s="138"/>
      <c r="G17" s="139"/>
      <c r="I17" s="127"/>
      <c r="J17" s="127"/>
    </row>
    <row r="18" spans="2:10" x14ac:dyDescent="0.25">
      <c r="B18" s="142" t="s">
        <v>63</v>
      </c>
      <c r="C18" s="143"/>
      <c r="D18" s="144"/>
      <c r="E18" s="145" t="s">
        <v>64</v>
      </c>
      <c r="F18" s="145" t="s">
        <v>65</v>
      </c>
      <c r="G18" s="146" t="s">
        <v>66</v>
      </c>
    </row>
    <row r="19" spans="2:10" x14ac:dyDescent="0.25">
      <c r="B19" s="128"/>
      <c r="C19" s="129"/>
      <c r="D19" s="147"/>
      <c r="E19" s="148"/>
      <c r="F19" s="148"/>
      <c r="G19" s="149"/>
    </row>
    <row r="20" spans="2:10" x14ac:dyDescent="0.25">
      <c r="B20" s="128" t="s">
        <v>67</v>
      </c>
      <c r="C20" s="129"/>
      <c r="D20" s="147"/>
      <c r="E20" s="148">
        <f>INDEX(Tabela,$I$14,I20)</f>
        <v>0.03</v>
      </c>
      <c r="F20" s="148">
        <f>INDEX(Tabela,$I$14,J20)</f>
        <v>5.5E-2</v>
      </c>
      <c r="G20" s="150">
        <v>0.03</v>
      </c>
      <c r="I20" s="120">
        <v>6</v>
      </c>
      <c r="J20" s="120">
        <v>7</v>
      </c>
    </row>
    <row r="21" spans="2:10" x14ac:dyDescent="0.25">
      <c r="B21" s="128"/>
      <c r="C21" s="129"/>
      <c r="D21" s="147"/>
      <c r="E21" s="148"/>
      <c r="F21" s="148"/>
      <c r="G21" s="149"/>
    </row>
    <row r="22" spans="2:10" x14ac:dyDescent="0.25">
      <c r="B22" s="128" t="s">
        <v>68</v>
      </c>
      <c r="C22" s="129"/>
      <c r="D22" s="147"/>
      <c r="E22" s="148">
        <f>INDEX(Tabela,$I$14,I22)</f>
        <v>8.0000000000000002E-3</v>
      </c>
      <c r="F22" s="148">
        <f>INDEX(Tabela,$I$14,J22)</f>
        <v>0.01</v>
      </c>
      <c r="G22" s="150">
        <v>8.0000000000000002E-3</v>
      </c>
      <c r="I22" s="120">
        <v>8</v>
      </c>
      <c r="J22" s="120">
        <v>9</v>
      </c>
    </row>
    <row r="23" spans="2:10" x14ac:dyDescent="0.25">
      <c r="B23" s="128"/>
      <c r="C23" s="129"/>
      <c r="D23" s="147"/>
      <c r="E23" s="148"/>
      <c r="F23" s="148"/>
      <c r="G23" s="149"/>
    </row>
    <row r="24" spans="2:10" x14ac:dyDescent="0.25">
      <c r="B24" s="128" t="s">
        <v>69</v>
      </c>
      <c r="C24" s="129"/>
      <c r="D24" s="147"/>
      <c r="E24" s="148">
        <f>INDEX(Tabela,$I$14,I24)</f>
        <v>9.7000000000000003E-3</v>
      </c>
      <c r="F24" s="148">
        <f>INDEX(Tabela,$I$14,J24)</f>
        <v>1.2699999999999999E-2</v>
      </c>
      <c r="G24" s="150">
        <v>9.7000000000000003E-3</v>
      </c>
      <c r="I24" s="120">
        <v>10</v>
      </c>
      <c r="J24" s="120">
        <v>11</v>
      </c>
    </row>
    <row r="25" spans="2:10" x14ac:dyDescent="0.25">
      <c r="B25" s="128"/>
      <c r="C25" s="129"/>
      <c r="D25" s="147"/>
      <c r="E25" s="148"/>
      <c r="F25" s="148"/>
      <c r="G25" s="149"/>
    </row>
    <row r="26" spans="2:10" x14ac:dyDescent="0.25">
      <c r="B26" s="128" t="s">
        <v>70</v>
      </c>
      <c r="C26" s="129"/>
      <c r="D26" s="147"/>
      <c r="E26" s="148">
        <f>INDEX(Tabela,$I$14,I26)</f>
        <v>5.8999999999999999E-3</v>
      </c>
      <c r="F26" s="148">
        <f>INDEX(Tabela,$I$14,J26)</f>
        <v>1.3899999999999999E-2</v>
      </c>
      <c r="G26" s="150">
        <v>5.8999999999999999E-3</v>
      </c>
      <c r="I26" s="120">
        <v>12</v>
      </c>
      <c r="J26" s="120">
        <v>13</v>
      </c>
    </row>
    <row r="27" spans="2:10" x14ac:dyDescent="0.25">
      <c r="B27" s="128"/>
      <c r="C27" s="129"/>
      <c r="D27" s="147"/>
      <c r="E27" s="148"/>
      <c r="F27" s="148"/>
      <c r="G27" s="149"/>
    </row>
    <row r="28" spans="2:10" x14ac:dyDescent="0.25">
      <c r="B28" s="128" t="s">
        <v>71</v>
      </c>
      <c r="C28" s="129"/>
      <c r="D28" s="147"/>
      <c r="E28" s="148">
        <f>INDEX(Tabela,$I$14,I28)</f>
        <v>6.1600000000000002E-2</v>
      </c>
      <c r="F28" s="148">
        <f>INDEX(Tabela,$I$14,J28)</f>
        <v>8.9599999999999999E-2</v>
      </c>
      <c r="G28" s="150">
        <v>0.08</v>
      </c>
      <c r="I28" s="120">
        <v>14</v>
      </c>
      <c r="J28" s="120">
        <v>15</v>
      </c>
    </row>
    <row r="29" spans="2:10" x14ac:dyDescent="0.25">
      <c r="B29" s="128"/>
      <c r="C29" s="129"/>
      <c r="D29" s="147"/>
      <c r="E29" s="148"/>
      <c r="F29" s="148"/>
      <c r="G29" s="149"/>
    </row>
    <row r="30" spans="2:10" x14ac:dyDescent="0.25">
      <c r="B30" s="128" t="s">
        <v>72</v>
      </c>
      <c r="C30" s="151" t="s">
        <v>73</v>
      </c>
      <c r="D30" s="152" t="s">
        <v>74</v>
      </c>
      <c r="E30" s="148"/>
      <c r="F30" s="148"/>
      <c r="G30" s="149">
        <f>SUM(F30:F33)</f>
        <v>8.1500000000000003E-2</v>
      </c>
    </row>
    <row r="31" spans="2:10" x14ac:dyDescent="0.25">
      <c r="B31" s="153" t="s">
        <v>75</v>
      </c>
      <c r="C31" s="154">
        <v>0.5</v>
      </c>
      <c r="D31" s="155">
        <v>0.05</v>
      </c>
      <c r="E31" s="148"/>
      <c r="F31" s="148">
        <f>PRODUCT(C31:D31)*(LEFT(D14,3)&lt;&gt;"mat")</f>
        <v>2.5000000000000001E-2</v>
      </c>
      <c r="G31" s="149"/>
    </row>
    <row r="32" spans="2:10" x14ac:dyDescent="0.25">
      <c r="B32" s="153" t="s">
        <v>76</v>
      </c>
      <c r="D32" s="155">
        <v>3.6499999999999998E-2</v>
      </c>
      <c r="E32" s="148"/>
      <c r="F32" s="148">
        <f>PRODUCT(C32:D32)</f>
        <v>3.6499999999999998E-2</v>
      </c>
      <c r="G32" s="149"/>
    </row>
    <row r="33" spans="2:10" x14ac:dyDescent="0.25">
      <c r="B33" s="153" t="s">
        <v>77</v>
      </c>
      <c r="D33" s="157">
        <f>IF(I16=4,2%,0)</f>
        <v>0.02</v>
      </c>
      <c r="E33" s="148"/>
      <c r="F33" s="148">
        <f>PRODUCT(C33:D33)</f>
        <v>0.02</v>
      </c>
      <c r="G33" s="149"/>
    </row>
    <row r="34" spans="2:10" x14ac:dyDescent="0.25">
      <c r="B34" s="128"/>
      <c r="C34" s="129"/>
      <c r="D34" s="147"/>
      <c r="E34" s="148"/>
      <c r="F34" s="148"/>
      <c r="G34" s="149"/>
    </row>
    <row r="35" spans="2:10" x14ac:dyDescent="0.25">
      <c r="B35" s="158" t="s">
        <v>10</v>
      </c>
      <c r="C35" s="159"/>
      <c r="D35" s="144"/>
      <c r="E35" s="145">
        <f>INDEX(Tabela,$I$14,I$16)</f>
        <v>0.22339999999999999</v>
      </c>
      <c r="F35" s="145">
        <f>INDEX(Tabela,$I$14,J$16)</f>
        <v>0.27229999999999999</v>
      </c>
      <c r="G35" s="146">
        <f>SUM(G20:G24,1)*SUM(G26,1)*SUM(G28,1)/-SUM(G30,-1)-1</f>
        <v>0.23918556820903669</v>
      </c>
    </row>
    <row r="36" spans="2:10" x14ac:dyDescent="0.25">
      <c r="B36" s="160"/>
      <c r="C36" s="161"/>
      <c r="D36" s="162"/>
      <c r="E36" s="163"/>
      <c r="F36" s="163"/>
      <c r="G36" s="164"/>
    </row>
    <row r="37" spans="2:10" x14ac:dyDescent="0.25">
      <c r="B37" s="128"/>
      <c r="C37" s="165" t="s">
        <v>78</v>
      </c>
      <c r="D37" s="166"/>
      <c r="G37" s="168"/>
    </row>
    <row r="38" spans="2:10" x14ac:dyDescent="0.25">
      <c r="B38" s="169"/>
      <c r="C38" s="170"/>
      <c r="D38" s="171"/>
      <c r="E38" s="172"/>
      <c r="F38" s="172"/>
      <c r="G38" s="173"/>
    </row>
    <row r="42" spans="2:10" x14ac:dyDescent="0.25">
      <c r="B42" s="279" t="s">
        <v>106</v>
      </c>
      <c r="C42" s="279"/>
      <c r="D42" s="279"/>
      <c r="E42" s="279"/>
    </row>
    <row r="43" spans="2:10" x14ac:dyDescent="0.25">
      <c r="B43" s="280" t="s">
        <v>79</v>
      </c>
      <c r="C43" s="280"/>
      <c r="D43" s="280"/>
      <c r="E43" s="280"/>
    </row>
    <row r="46" spans="2:10" x14ac:dyDescent="0.25">
      <c r="D46" s="281"/>
      <c r="E46" s="281"/>
      <c r="F46" s="281"/>
      <c r="G46" s="281"/>
    </row>
    <row r="47" spans="2:10" s="126" customFormat="1" ht="11.25" x14ac:dyDescent="0.2">
      <c r="C47" s="174"/>
      <c r="D47" s="282" t="s">
        <v>80</v>
      </c>
      <c r="E47" s="282"/>
      <c r="F47" s="282"/>
      <c r="G47" s="282"/>
      <c r="I47" s="127"/>
      <c r="J47" s="127"/>
    </row>
  </sheetData>
  <mergeCells count="11">
    <mergeCell ref="D14:G14"/>
    <mergeCell ref="B1:G1"/>
    <mergeCell ref="B6:G6"/>
    <mergeCell ref="D8:G8"/>
    <mergeCell ref="D10:G10"/>
    <mergeCell ref="D11:G11"/>
    <mergeCell ref="D16:G16"/>
    <mergeCell ref="B42:E42"/>
    <mergeCell ref="B43:E43"/>
    <mergeCell ref="D46:G46"/>
    <mergeCell ref="D47:G47"/>
  </mergeCells>
  <conditionalFormatting sqref="G19:G29 G34:G35">
    <cfRule type="cellIs" dxfId="5" priority="6" stopIfTrue="1" operator="notBetween">
      <formula>$E19</formula>
      <formula>$F19</formula>
    </cfRule>
  </conditionalFormatting>
  <conditionalFormatting sqref="E19:E29 E31:E35">
    <cfRule type="expression" dxfId="4" priority="5" stopIfTrue="1">
      <formula>E19&gt;G19</formula>
    </cfRule>
  </conditionalFormatting>
  <conditionalFormatting sqref="F19:F29 F31:F35">
    <cfRule type="expression" dxfId="3" priority="4" stopIfTrue="1">
      <formula>F19&lt;G19</formula>
    </cfRule>
  </conditionalFormatting>
  <conditionalFormatting sqref="G20 G22 G24 G26 G28 D32:D33 C31:D31">
    <cfRule type="expression" dxfId="2" priority="3" stopIfTrue="1">
      <formula>ISNUMBER(C20)=FALSE</formula>
    </cfRule>
  </conditionalFormatting>
  <conditionalFormatting sqref="D8:G8 D10:G11 D14:G14 D16:G16">
    <cfRule type="expression" dxfId="1" priority="2" stopIfTrue="1">
      <formula>TRIM(D8)=""</formula>
    </cfRule>
  </conditionalFormatting>
  <conditionalFormatting sqref="B42:E42">
    <cfRule type="expression" dxfId="0" priority="1" stopIfTrue="1">
      <formula>TRIM(B42)=""</formula>
    </cfRule>
  </conditionalFormatting>
  <dataValidations count="2">
    <dataValidation type="list" allowBlank="1" showInputMessage="1" showErrorMessage="1" errorTitle="Desoneração" error="Escolha uma das opções válidas" sqref="D16:G16" xr:uid="{2AE16512-D739-46DF-8F42-BBDFDF972E09}">
      <formula1>"Com desoneração (CPRB=2%),SEM desoneração (CPFS=20%)"</formula1>
    </dataValidation>
    <dataValidation type="list" allowBlank="1" showInputMessage="1" showErrorMessage="1" errorTitle="Tipologia" error="Escolha uma das opções válidas" sqref="D14:G14" xr:uid="{CB61B96E-D92E-4B97-A674-CCA4BEF924F1}">
      <formula1>INDEX(Tabela,0,1)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67A1D-6F22-4751-84A2-589AF786B958}">
  <dimension ref="B2:R17"/>
  <sheetViews>
    <sheetView workbookViewId="0">
      <selection sqref="A1:XFD1048576"/>
    </sheetView>
  </sheetViews>
  <sheetFormatPr defaultColWidth="9" defaultRowHeight="12.75" x14ac:dyDescent="0.2"/>
  <cols>
    <col min="1" max="1" width="3.140625" style="178" customWidth="1"/>
    <col min="2" max="2" width="38.42578125" style="178" customWidth="1"/>
    <col min="3" max="18" width="8.5703125" style="198" customWidth="1"/>
    <col min="19" max="16384" width="9" style="178"/>
  </cols>
  <sheetData>
    <row r="2" spans="2:18" ht="15.75" x14ac:dyDescent="0.25">
      <c r="B2" s="176" t="s">
        <v>81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</row>
    <row r="5" spans="2:18" x14ac:dyDescent="0.2">
      <c r="B5" s="290" t="s">
        <v>82</v>
      </c>
      <c r="C5" s="292" t="s">
        <v>83</v>
      </c>
      <c r="D5" s="292"/>
      <c r="E5" s="293" t="s">
        <v>83</v>
      </c>
      <c r="F5" s="293"/>
      <c r="G5" s="294" t="s">
        <v>84</v>
      </c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</row>
    <row r="6" spans="2:18" x14ac:dyDescent="0.2">
      <c r="B6" s="290"/>
      <c r="C6" s="295" t="s">
        <v>85</v>
      </c>
      <c r="D6" s="295"/>
      <c r="E6" s="296" t="s">
        <v>86</v>
      </c>
      <c r="F6" s="296"/>
      <c r="G6" s="289" t="s">
        <v>87</v>
      </c>
      <c r="H6" s="289"/>
      <c r="I6" s="289" t="s">
        <v>68</v>
      </c>
      <c r="J6" s="289"/>
      <c r="K6" s="289" t="s">
        <v>69</v>
      </c>
      <c r="L6" s="289"/>
      <c r="M6" s="289" t="s">
        <v>88</v>
      </c>
      <c r="N6" s="289"/>
      <c r="O6" s="289" t="s">
        <v>71</v>
      </c>
      <c r="P6" s="289"/>
      <c r="Q6" s="289" t="s">
        <v>72</v>
      </c>
      <c r="R6" s="289"/>
    </row>
    <row r="7" spans="2:18" ht="13.5" thickBot="1" x14ac:dyDescent="0.25">
      <c r="B7" s="291"/>
      <c r="C7" s="179" t="s">
        <v>89</v>
      </c>
      <c r="D7" s="180" t="s">
        <v>90</v>
      </c>
      <c r="E7" s="181" t="s">
        <v>89</v>
      </c>
      <c r="F7" s="182" t="s">
        <v>90</v>
      </c>
      <c r="G7" s="183" t="s">
        <v>89</v>
      </c>
      <c r="H7" s="184" t="s">
        <v>90</v>
      </c>
      <c r="I7" s="183" t="s">
        <v>89</v>
      </c>
      <c r="J7" s="184" t="s">
        <v>90</v>
      </c>
      <c r="K7" s="183" t="s">
        <v>89</v>
      </c>
      <c r="L7" s="184" t="s">
        <v>90</v>
      </c>
      <c r="M7" s="183" t="s">
        <v>89</v>
      </c>
      <c r="N7" s="184" t="s">
        <v>90</v>
      </c>
      <c r="O7" s="183" t="s">
        <v>89</v>
      </c>
      <c r="P7" s="184" t="s">
        <v>90</v>
      </c>
      <c r="Q7" s="185" t="s">
        <v>72</v>
      </c>
      <c r="R7" s="185" t="s">
        <v>77</v>
      </c>
    </row>
    <row r="8" spans="2:18" ht="21.75" customHeight="1" thickTop="1" x14ac:dyDescent="0.2">
      <c r="B8" s="186" t="s">
        <v>91</v>
      </c>
      <c r="C8" s="187">
        <v>0.2034</v>
      </c>
      <c r="D8" s="188">
        <v>0.25</v>
      </c>
      <c r="E8" s="187">
        <v>0.22339999999999999</v>
      </c>
      <c r="F8" s="188">
        <v>0.27229999999999999</v>
      </c>
      <c r="G8" s="187">
        <v>0.03</v>
      </c>
      <c r="H8" s="188">
        <v>5.5E-2</v>
      </c>
      <c r="I8" s="187">
        <v>8.0000000000000002E-3</v>
      </c>
      <c r="J8" s="188">
        <v>0.01</v>
      </c>
      <c r="K8" s="187">
        <v>9.7000000000000003E-3</v>
      </c>
      <c r="L8" s="188">
        <v>1.2699999999999999E-2</v>
      </c>
      <c r="M8" s="187">
        <v>5.8999999999999999E-3</v>
      </c>
      <c r="N8" s="188">
        <v>1.3899999999999999E-2</v>
      </c>
      <c r="O8" s="187">
        <v>6.1600000000000002E-2</v>
      </c>
      <c r="P8" s="188">
        <v>8.9599999999999999E-2</v>
      </c>
      <c r="Q8" s="189" t="s">
        <v>92</v>
      </c>
      <c r="R8" s="189" t="s">
        <v>93</v>
      </c>
    </row>
    <row r="9" spans="2:18" ht="21.75" customHeight="1" x14ac:dyDescent="0.2">
      <c r="B9" s="186" t="s">
        <v>61</v>
      </c>
      <c r="C9" s="187">
        <v>0.19600000000000001</v>
      </c>
      <c r="D9" s="188">
        <v>0.24229999999999999</v>
      </c>
      <c r="E9" s="187">
        <v>0.216</v>
      </c>
      <c r="F9" s="188">
        <v>0.2646</v>
      </c>
      <c r="G9" s="187">
        <v>3.7999999999999999E-2</v>
      </c>
      <c r="H9" s="188">
        <v>4.6699999999999998E-2</v>
      </c>
      <c r="I9" s="187">
        <v>3.2000000000000002E-3</v>
      </c>
      <c r="J9" s="188">
        <v>7.4000000000000003E-3</v>
      </c>
      <c r="K9" s="187">
        <v>5.0000000000000001E-3</v>
      </c>
      <c r="L9" s="188">
        <v>9.7000000000000003E-3</v>
      </c>
      <c r="M9" s="187">
        <v>1.0200000000000001E-2</v>
      </c>
      <c r="N9" s="188">
        <v>1.21E-2</v>
      </c>
      <c r="O9" s="187">
        <v>6.6400000000000001E-2</v>
      </c>
      <c r="P9" s="188">
        <v>8.6900000000000005E-2</v>
      </c>
      <c r="Q9" s="189" t="s">
        <v>92</v>
      </c>
      <c r="R9" s="189" t="s">
        <v>93</v>
      </c>
    </row>
    <row r="10" spans="2:18" ht="21.75" customHeight="1" x14ac:dyDescent="0.2">
      <c r="B10" s="186" t="s">
        <v>94</v>
      </c>
      <c r="C10" s="187">
        <v>0.20760000000000001</v>
      </c>
      <c r="D10" s="188">
        <v>0.26440000000000002</v>
      </c>
      <c r="E10" s="187">
        <v>0.2276</v>
      </c>
      <c r="F10" s="188">
        <v>0.28670000000000001</v>
      </c>
      <c r="G10" s="187">
        <v>3.4299999999999997E-2</v>
      </c>
      <c r="H10" s="188">
        <v>6.7100000000000007E-2</v>
      </c>
      <c r="I10" s="187">
        <v>2.8E-3</v>
      </c>
      <c r="J10" s="188">
        <v>7.4999999999999997E-3</v>
      </c>
      <c r="K10" s="187">
        <v>0.01</v>
      </c>
      <c r="L10" s="188">
        <v>1.7399999999999999E-2</v>
      </c>
      <c r="M10" s="187">
        <v>9.4000000000000004E-3</v>
      </c>
      <c r="N10" s="188">
        <v>1.17E-2</v>
      </c>
      <c r="O10" s="187">
        <v>6.7400000000000002E-2</v>
      </c>
      <c r="P10" s="188">
        <v>9.4E-2</v>
      </c>
      <c r="Q10" s="189" t="s">
        <v>92</v>
      </c>
      <c r="R10" s="189" t="s">
        <v>93</v>
      </c>
    </row>
    <row r="11" spans="2:18" ht="21.75" customHeight="1" x14ac:dyDescent="0.2">
      <c r="B11" s="186" t="s">
        <v>95</v>
      </c>
      <c r="C11" s="187">
        <v>0.24</v>
      </c>
      <c r="D11" s="188">
        <v>0.27860000000000001</v>
      </c>
      <c r="E11" s="187">
        <v>0.26</v>
      </c>
      <c r="F11" s="188">
        <v>0.3009</v>
      </c>
      <c r="G11" s="187">
        <v>5.2900000000000003E-2</v>
      </c>
      <c r="H11" s="188">
        <v>7.9299999999999995E-2</v>
      </c>
      <c r="I11" s="187">
        <v>2.5000000000000001E-3</v>
      </c>
      <c r="J11" s="188">
        <v>5.5999999999999999E-3</v>
      </c>
      <c r="K11" s="187">
        <v>0.01</v>
      </c>
      <c r="L11" s="188">
        <v>1.9699999999999999E-2</v>
      </c>
      <c r="M11" s="187">
        <v>1.01E-2</v>
      </c>
      <c r="N11" s="188">
        <v>1.11E-2</v>
      </c>
      <c r="O11" s="187">
        <v>0.08</v>
      </c>
      <c r="P11" s="188">
        <v>9.5100000000000004E-2</v>
      </c>
      <c r="Q11" s="189" t="s">
        <v>92</v>
      </c>
      <c r="R11" s="189" t="s">
        <v>93</v>
      </c>
    </row>
    <row r="12" spans="2:18" ht="21.75" customHeight="1" x14ac:dyDescent="0.2">
      <c r="B12" s="186" t="s">
        <v>96</v>
      </c>
      <c r="C12" s="187">
        <v>0.22800000000000001</v>
      </c>
      <c r="D12" s="188">
        <v>0.3095</v>
      </c>
      <c r="E12" s="187">
        <v>0.248</v>
      </c>
      <c r="F12" s="188">
        <v>0.33179999999999998</v>
      </c>
      <c r="G12" s="187">
        <v>0.04</v>
      </c>
      <c r="H12" s="188">
        <v>7.85E-2</v>
      </c>
      <c r="I12" s="187">
        <v>8.0999999999999996E-3</v>
      </c>
      <c r="J12" s="188">
        <v>1.9900000000000001E-2</v>
      </c>
      <c r="K12" s="187">
        <v>1.46E-2</v>
      </c>
      <c r="L12" s="188">
        <v>3.1600000000000003E-2</v>
      </c>
      <c r="M12" s="187">
        <v>9.4000000000000004E-3</v>
      </c>
      <c r="N12" s="188">
        <v>1.3299999999999999E-2</v>
      </c>
      <c r="O12" s="187">
        <v>7.1400000000000005E-2</v>
      </c>
      <c r="P12" s="188">
        <v>0.1043</v>
      </c>
      <c r="Q12" s="189" t="s">
        <v>92</v>
      </c>
      <c r="R12" s="189" t="s">
        <v>93</v>
      </c>
    </row>
    <row r="13" spans="2:18" ht="21.75" customHeight="1" x14ac:dyDescent="0.2">
      <c r="B13" s="190" t="s">
        <v>97</v>
      </c>
      <c r="C13" s="191">
        <v>0.111</v>
      </c>
      <c r="D13" s="192">
        <v>0.16800000000000001</v>
      </c>
      <c r="E13" s="191">
        <v>0.13100000000000001</v>
      </c>
      <c r="F13" s="192">
        <v>0.188</v>
      </c>
      <c r="G13" s="191">
        <v>1.4999999999999999E-2</v>
      </c>
      <c r="H13" s="192">
        <v>4.4900000000000002E-2</v>
      </c>
      <c r="I13" s="191">
        <v>3.0000000000000001E-3</v>
      </c>
      <c r="J13" s="192">
        <v>8.2000000000000007E-3</v>
      </c>
      <c r="K13" s="191">
        <v>5.5999999999999999E-3</v>
      </c>
      <c r="L13" s="192">
        <v>8.8999999999999999E-3</v>
      </c>
      <c r="M13" s="191">
        <v>8.5000000000000006E-3</v>
      </c>
      <c r="N13" s="192">
        <v>1.11E-2</v>
      </c>
      <c r="O13" s="191">
        <v>3.5000000000000003E-2</v>
      </c>
      <c r="P13" s="192">
        <v>6.2199999999999998E-2</v>
      </c>
      <c r="Q13" s="193" t="s">
        <v>92</v>
      </c>
      <c r="R13" s="193" t="s">
        <v>93</v>
      </c>
    </row>
    <row r="14" spans="2:18" ht="21.75" customHeight="1" x14ac:dyDescent="0.2">
      <c r="B14" s="194" t="s">
        <v>98</v>
      </c>
      <c r="C14" s="195">
        <v>0.1</v>
      </c>
      <c r="D14" s="196">
        <v>0.12</v>
      </c>
      <c r="E14" s="195">
        <v>0.1</v>
      </c>
      <c r="F14" s="196">
        <v>0.12</v>
      </c>
      <c r="G14" s="195">
        <v>1.4999999999999999E-2</v>
      </c>
      <c r="H14" s="196">
        <v>4.4900000000000002E-2</v>
      </c>
      <c r="I14" s="195">
        <v>3.0000000000000001E-3</v>
      </c>
      <c r="J14" s="196">
        <v>8.2000000000000007E-3</v>
      </c>
      <c r="K14" s="195">
        <v>5.5999999999999999E-3</v>
      </c>
      <c r="L14" s="196">
        <v>8.8999999999999999E-3</v>
      </c>
      <c r="M14" s="195">
        <v>8.5000000000000006E-3</v>
      </c>
      <c r="N14" s="196">
        <v>1.11E-2</v>
      </c>
      <c r="O14" s="195">
        <v>3.5000000000000003E-2</v>
      </c>
      <c r="P14" s="196">
        <v>6.2199999999999998E-2</v>
      </c>
      <c r="Q14" s="197" t="s">
        <v>92</v>
      </c>
      <c r="R14" s="197" t="s">
        <v>93</v>
      </c>
    </row>
    <row r="16" spans="2:18" x14ac:dyDescent="0.2">
      <c r="B16" s="199" t="s">
        <v>99</v>
      </c>
    </row>
    <row r="17" spans="2:2" x14ac:dyDescent="0.2">
      <c r="B17" s="199" t="s">
        <v>100</v>
      </c>
    </row>
  </sheetData>
  <mergeCells count="12">
    <mergeCell ref="O6:P6"/>
    <mergeCell ref="Q6:R6"/>
    <mergeCell ref="B5:B7"/>
    <mergeCell ref="C5:D5"/>
    <mergeCell ref="E5:F5"/>
    <mergeCell ref="G5:R5"/>
    <mergeCell ref="C6:D6"/>
    <mergeCell ref="E6:F6"/>
    <mergeCell ref="G6:H6"/>
    <mergeCell ref="I6:J6"/>
    <mergeCell ref="K6:L6"/>
    <mergeCell ref="M6:N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Orçamento</vt:lpstr>
      <vt:lpstr>Cronograma</vt:lpstr>
      <vt:lpstr>BDI</vt:lpstr>
      <vt:lpstr>Tabela</vt:lpstr>
      <vt:lpstr>Cronograma!Area_de_impressao</vt:lpstr>
      <vt:lpstr>Orçamento!Area_de_impressao</vt:lpstr>
      <vt:lpstr>Orçamento!Texto3</vt:lpstr>
      <vt:lpstr>Orçamento!Texto4</vt:lpstr>
    </vt:vector>
  </TitlesOfParts>
  <Company>Prefeirura Blumenau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Prefeirura Blumenau</dc:creator>
  <cp:lastModifiedBy>Fabio</cp:lastModifiedBy>
  <cp:lastPrinted>2019-12-04T22:39:49Z</cp:lastPrinted>
  <dcterms:created xsi:type="dcterms:W3CDTF">2003-10-24T18:12:58Z</dcterms:created>
  <dcterms:modified xsi:type="dcterms:W3CDTF">2020-03-02T19:22:05Z</dcterms:modified>
</cp:coreProperties>
</file>