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pografia\DOCUMENTOS PLANEJAMENTO\PROJETOS\PREFEITURA\REFORMA ANEXO 2020\Docs Licitação\"/>
    </mc:Choice>
  </mc:AlternateContent>
  <bookViews>
    <workbookView xWindow="360" yWindow="855" windowWidth="12120" windowHeight="8100"/>
  </bookViews>
  <sheets>
    <sheet name="Orçamento" sheetId="3" r:id="rId1"/>
    <sheet name="Cronograma" sheetId="2" r:id="rId2"/>
  </sheets>
  <definedNames>
    <definedName name="_xlnm.Print_Area" localSheetId="1">Cronograma!$A$1:$H$27</definedName>
    <definedName name="_xlnm.Print_Area" localSheetId="0">Orçamento!$A$1:$H$174</definedName>
    <definedName name="Texto1" localSheetId="0">Orçamento!#REF!</definedName>
    <definedName name="Texto10" localSheetId="0">Orçamento!#REF!</definedName>
    <definedName name="Texto12" localSheetId="0">Orçamento!#REF!</definedName>
    <definedName name="Texto13" localSheetId="0">Orçamento!#REF!</definedName>
    <definedName name="Texto14" localSheetId="0">Orçamento!#REF!</definedName>
    <definedName name="Texto15" localSheetId="0">Orçamento!#REF!</definedName>
    <definedName name="Texto16" localSheetId="0">Orçamento!#REF!</definedName>
    <definedName name="Texto2" localSheetId="0">Orçamento!#REF!</definedName>
    <definedName name="Texto3" localSheetId="0">Orçamento!$G$2</definedName>
    <definedName name="Texto4" localSheetId="0">Orçamento!$A$4</definedName>
    <definedName name="Texto42" localSheetId="0">Orçamento!#REF!</definedName>
    <definedName name="Texto43" localSheetId="0">Orçamento!#REF!</definedName>
    <definedName name="Texto5" localSheetId="0">Orçamento!#REF!</definedName>
    <definedName name="Texto7" localSheetId="0">Orçamento!#REF!</definedName>
    <definedName name="Texto8" localSheetId="0">Orçamento!#REF!</definedName>
    <definedName name="Texto9" localSheetId="0">Orçamento!#REF!</definedName>
  </definedNames>
  <calcPr calcId="152511"/>
  <fileRecoveryPr autoRecover="0"/>
</workbook>
</file>

<file path=xl/calcChain.xml><?xml version="1.0" encoding="utf-8"?>
<calcChain xmlns="http://schemas.openxmlformats.org/spreadsheetml/2006/main">
  <c r="E11" i="2" l="1"/>
  <c r="H172" i="3"/>
  <c r="G24" i="2" s="1"/>
  <c r="H167" i="3"/>
  <c r="H161" i="3"/>
  <c r="G22" i="2" s="1"/>
  <c r="H155" i="3"/>
  <c r="H148" i="3"/>
  <c r="G20" i="2" s="1"/>
  <c r="H143" i="3"/>
  <c r="G19" i="2" s="1"/>
  <c r="H136" i="3"/>
  <c r="H127" i="3"/>
  <c r="H92" i="3"/>
  <c r="G16" i="2" s="1"/>
  <c r="H81" i="3"/>
  <c r="H75" i="3"/>
  <c r="H65" i="3"/>
  <c r="H56" i="3"/>
  <c r="H43" i="3"/>
  <c r="G11" i="2" s="1"/>
  <c r="H24" i="3"/>
  <c r="H11" i="3"/>
  <c r="G23" i="2"/>
  <c r="G21" i="2"/>
  <c r="G18" i="2"/>
  <c r="G17" i="2"/>
  <c r="G15" i="2"/>
  <c r="G14" i="2"/>
  <c r="G13" i="2"/>
  <c r="G12" i="2"/>
  <c r="G10" i="2"/>
  <c r="G9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H174" i="3" l="1"/>
  <c r="G25" i="2"/>
  <c r="G98" i="3"/>
  <c r="H98" i="3" s="1"/>
  <c r="G99" i="3"/>
  <c r="H99" i="3"/>
  <c r="E112" i="3"/>
  <c r="E114" i="3"/>
  <c r="E115" i="3"/>
  <c r="E113" i="3"/>
  <c r="G107" i="3"/>
  <c r="H107" i="3" s="1"/>
  <c r="E51" i="3"/>
  <c r="E116" i="3"/>
  <c r="G116" i="3"/>
  <c r="E47" i="3"/>
  <c r="G159" i="3"/>
  <c r="H159" i="3" s="1"/>
  <c r="E50" i="3"/>
  <c r="G49" i="3"/>
  <c r="H49" i="3" s="1"/>
  <c r="G50" i="3"/>
  <c r="H116" i="3" l="1"/>
  <c r="H50" i="3"/>
  <c r="E37" i="3" l="1"/>
  <c r="G42" i="3"/>
  <c r="H42" i="3" s="1"/>
  <c r="G37" i="3"/>
  <c r="E39" i="3"/>
  <c r="E32" i="3"/>
  <c r="E30" i="3"/>
  <c r="E29" i="3"/>
  <c r="E28" i="3"/>
  <c r="E34" i="3"/>
  <c r="H37" i="3" l="1"/>
  <c r="E111" i="3"/>
  <c r="E164" i="3"/>
  <c r="E166" i="3"/>
  <c r="E165" i="3"/>
  <c r="G70" i="3" l="1"/>
  <c r="H70" i="3" s="1"/>
  <c r="E69" i="3"/>
  <c r="E68" i="3"/>
  <c r="E72" i="3" s="1"/>
  <c r="E122" i="3"/>
  <c r="E118" i="3"/>
  <c r="E124" i="3"/>
  <c r="G110" i="3"/>
  <c r="H110" i="3" s="1"/>
  <c r="E62" i="3"/>
  <c r="G63" i="3"/>
  <c r="H63" i="3" s="1"/>
  <c r="E90" i="3"/>
  <c r="G62" i="3"/>
  <c r="F87" i="3"/>
  <c r="G87" i="3" s="1"/>
  <c r="H87" i="3" s="1"/>
  <c r="F86" i="3"/>
  <c r="F85" i="3"/>
  <c r="G85" i="3" s="1"/>
  <c r="H85" i="3" s="1"/>
  <c r="E20" i="3"/>
  <c r="E59" i="3"/>
  <c r="E78" i="3" s="1"/>
  <c r="E79" i="3" s="1"/>
  <c r="E80" i="3"/>
  <c r="H62" i="3" l="1"/>
  <c r="E73" i="3"/>
  <c r="G73" i="3" l="1"/>
  <c r="H73" i="3" s="1"/>
  <c r="G69" i="3" l="1"/>
  <c r="H69" i="3" s="1"/>
  <c r="G47" i="3"/>
  <c r="H47" i="3" s="1"/>
  <c r="E54" i="3" l="1"/>
  <c r="E48" i="3"/>
  <c r="F14" i="3"/>
  <c r="E23" i="3"/>
  <c r="G16" i="3"/>
  <c r="H16" i="3" s="1"/>
  <c r="G17" i="3"/>
  <c r="H17" i="3" s="1"/>
  <c r="G18" i="3"/>
  <c r="H18" i="3" s="1"/>
  <c r="G19" i="3"/>
  <c r="H19" i="3" s="1"/>
  <c r="E60" i="3"/>
  <c r="G61" i="3"/>
  <c r="E61" i="3"/>
  <c r="H61" i="3" l="1"/>
  <c r="E53" i="3"/>
  <c r="E41" i="3"/>
  <c r="E40" i="3" s="1"/>
  <c r="E36" i="3"/>
  <c r="E35" i="3" s="1"/>
  <c r="E31" i="3" l="1"/>
  <c r="G22" i="3"/>
  <c r="H22" i="3" s="1"/>
  <c r="G20" i="3"/>
  <c r="H20" i="3" s="1"/>
  <c r="E21" i="3"/>
  <c r="G21" i="3"/>
  <c r="H21" i="3" l="1"/>
  <c r="G41" i="3"/>
  <c r="G40" i="3"/>
  <c r="G39" i="3"/>
  <c r="G36" i="3"/>
  <c r="G35" i="3"/>
  <c r="G34" i="3"/>
  <c r="G32" i="3"/>
  <c r="G31" i="3"/>
  <c r="G30" i="3"/>
  <c r="G29" i="3"/>
  <c r="G28" i="3"/>
  <c r="H28" i="3" s="1"/>
  <c r="H40" i="3" l="1"/>
  <c r="H34" i="3"/>
  <c r="H39" i="3"/>
  <c r="H41" i="3"/>
  <c r="H36" i="3"/>
  <c r="H31" i="3"/>
  <c r="H30" i="3"/>
  <c r="H32" i="3"/>
  <c r="G43" i="3"/>
  <c r="H29" i="3"/>
  <c r="H35" i="3"/>
  <c r="G123" i="3" l="1"/>
  <c r="H123" i="3" s="1"/>
  <c r="G119" i="3" l="1"/>
  <c r="H119" i="3" s="1"/>
  <c r="G125" i="3"/>
  <c r="H125" i="3" s="1"/>
  <c r="G112" i="3"/>
  <c r="H112" i="3" s="1"/>
  <c r="G111" i="3"/>
  <c r="H111" i="3" s="1"/>
  <c r="G120" i="3" l="1"/>
  <c r="H120" i="3" s="1"/>
  <c r="G124" i="3"/>
  <c r="H124" i="3" s="1"/>
  <c r="G126" i="3"/>
  <c r="H126" i="3" s="1"/>
  <c r="G122" i="3"/>
  <c r="H122" i="3" s="1"/>
  <c r="G118" i="3"/>
  <c r="H118" i="3" s="1"/>
  <c r="G105" i="3"/>
  <c r="H105" i="3" s="1"/>
  <c r="G106" i="3"/>
  <c r="H106" i="3" s="1"/>
  <c r="G108" i="3"/>
  <c r="H108" i="3" s="1"/>
  <c r="G109" i="3"/>
  <c r="H109" i="3" s="1"/>
  <c r="G113" i="3"/>
  <c r="H113" i="3" s="1"/>
  <c r="G114" i="3"/>
  <c r="H114" i="3" s="1"/>
  <c r="G115" i="3"/>
  <c r="H115" i="3" s="1"/>
  <c r="G171" i="3" l="1"/>
  <c r="H171" i="3" l="1"/>
  <c r="G91" i="3" l="1"/>
  <c r="H91" i="3" s="1"/>
  <c r="G86" i="3" l="1"/>
  <c r="H86" i="3" s="1"/>
  <c r="G88" i="3"/>
  <c r="H88" i="3" s="1"/>
  <c r="G60" i="3" l="1"/>
  <c r="H60" i="3" s="1"/>
  <c r="G71" i="3" l="1"/>
  <c r="H71" i="3" s="1"/>
  <c r="G55" i="3"/>
  <c r="H55" i="3" s="1"/>
  <c r="G51" i="3" l="1"/>
  <c r="H51" i="3" s="1"/>
  <c r="G52" i="3"/>
  <c r="H52" i="3" s="1"/>
  <c r="G53" i="3"/>
  <c r="H53" i="3" s="1"/>
  <c r="G54" i="3"/>
  <c r="H54" i="3" s="1"/>
  <c r="G48" i="3"/>
  <c r="G135" i="3"/>
  <c r="H135" i="3" s="1"/>
  <c r="H48" i="3" l="1"/>
  <c r="G147" i="3"/>
  <c r="H147" i="3" s="1"/>
  <c r="G146" i="3" l="1"/>
  <c r="H146" i="3" s="1"/>
  <c r="G141" i="3"/>
  <c r="H141" i="3" s="1"/>
  <c r="G148" i="3" l="1"/>
  <c r="G72" i="3" l="1"/>
  <c r="H72" i="3" s="1"/>
  <c r="G74" i="3"/>
  <c r="H74" i="3" s="1"/>
  <c r="G170" i="3" l="1"/>
  <c r="H170" i="3" s="1"/>
  <c r="G165" i="3"/>
  <c r="H165" i="3" s="1"/>
  <c r="G166" i="3"/>
  <c r="H166" i="3" s="1"/>
  <c r="G164" i="3"/>
  <c r="H164" i="3" s="1"/>
  <c r="G158" i="3"/>
  <c r="H158" i="3" s="1"/>
  <c r="G160" i="3"/>
  <c r="H160" i="3" s="1"/>
  <c r="G152" i="3"/>
  <c r="H152" i="3" s="1"/>
  <c r="G153" i="3"/>
  <c r="H153" i="3" s="1"/>
  <c r="G154" i="3"/>
  <c r="H154" i="3" s="1"/>
  <c r="G151" i="3"/>
  <c r="H151" i="3" s="1"/>
  <c r="G139" i="3"/>
  <c r="H139" i="3" s="1"/>
  <c r="G140" i="3"/>
  <c r="H140" i="3" s="1"/>
  <c r="G142" i="3"/>
  <c r="H142" i="3" s="1"/>
  <c r="G130" i="3"/>
  <c r="G131" i="3"/>
  <c r="H131" i="3" s="1"/>
  <c r="G132" i="3"/>
  <c r="H132" i="3" s="1"/>
  <c r="G133" i="3"/>
  <c r="H133" i="3" s="1"/>
  <c r="G97" i="3"/>
  <c r="H97" i="3" s="1"/>
  <c r="G100" i="3"/>
  <c r="H100" i="3" s="1"/>
  <c r="G101" i="3"/>
  <c r="H101" i="3" s="1"/>
  <c r="G102" i="3"/>
  <c r="H102" i="3" s="1"/>
  <c r="G103" i="3"/>
  <c r="H103" i="3" s="1"/>
  <c r="G104" i="3"/>
  <c r="H104" i="3" s="1"/>
  <c r="G96" i="3"/>
  <c r="H96" i="3" s="1"/>
  <c r="G90" i="3"/>
  <c r="H90" i="3" s="1"/>
  <c r="G79" i="3"/>
  <c r="H79" i="3" s="1"/>
  <c r="G80" i="3"/>
  <c r="H80" i="3" s="1"/>
  <c r="G78" i="3"/>
  <c r="H78" i="3" s="1"/>
  <c r="G68" i="3"/>
  <c r="G64" i="3"/>
  <c r="H64" i="3" s="1"/>
  <c r="G59" i="3"/>
  <c r="H59" i="3" s="1"/>
  <c r="G46" i="3"/>
  <c r="G15" i="3"/>
  <c r="H15" i="3" s="1"/>
  <c r="G23" i="3"/>
  <c r="H23" i="3" s="1"/>
  <c r="G14" i="3"/>
  <c r="H14" i="3" s="1"/>
  <c r="G10" i="3"/>
  <c r="H10" i="3" s="1"/>
  <c r="H46" i="3" l="1"/>
  <c r="G56" i="3"/>
  <c r="H130" i="3"/>
  <c r="G136" i="3"/>
  <c r="H68" i="3"/>
  <c r="G75" i="3"/>
  <c r="G11" i="3"/>
  <c r="G24" i="3"/>
  <c r="G92" i="3"/>
  <c r="G127" i="3"/>
  <c r="G161" i="3"/>
  <c r="G155" i="3"/>
  <c r="G65" i="3"/>
  <c r="G172" i="3"/>
  <c r="G143" i="3"/>
  <c r="G167" i="3"/>
  <c r="C9" i="2" l="1"/>
  <c r="C24" i="2"/>
  <c r="E24" i="2"/>
  <c r="E19" i="2"/>
  <c r="C19" i="2"/>
  <c r="E17" i="2"/>
  <c r="C17" i="2"/>
  <c r="C22" i="2"/>
  <c r="E22" i="2"/>
  <c r="E10" i="2"/>
  <c r="C10" i="2"/>
  <c r="C12" i="2"/>
  <c r="E12" i="2"/>
  <c r="C21" i="2"/>
  <c r="E21" i="2"/>
  <c r="E23" i="2"/>
  <c r="C23" i="2"/>
  <c r="E14" i="2"/>
  <c r="C14" i="2"/>
  <c r="C11" i="2"/>
  <c r="E15" i="2"/>
  <c r="C15" i="2"/>
  <c r="E13" i="2"/>
  <c r="C13" i="2"/>
  <c r="C20" i="2"/>
  <c r="E20" i="2"/>
  <c r="E18" i="2"/>
  <c r="C18" i="2"/>
  <c r="E16" i="2"/>
  <c r="C16" i="2"/>
  <c r="C25" i="2" l="1"/>
  <c r="E9" i="2"/>
  <c r="E25" i="2" s="1"/>
  <c r="G81" i="3" l="1"/>
  <c r="C26" i="2" l="1"/>
  <c r="E26" i="2" s="1"/>
  <c r="G26" i="2" s="1"/>
  <c r="D25" i="2" l="1"/>
  <c r="H9" i="2" l="1"/>
  <c r="F25" i="2"/>
  <c r="D26" i="2"/>
  <c r="H23" i="2"/>
  <c r="H12" i="2"/>
  <c r="H16" i="2"/>
  <c r="H20" i="2"/>
  <c r="H24" i="2"/>
  <c r="H17" i="2"/>
  <c r="H11" i="2"/>
  <c r="H14" i="2"/>
  <c r="H21" i="2"/>
  <c r="H10" i="2"/>
  <c r="H19" i="2"/>
  <c r="H13" i="2"/>
  <c r="H22" i="2"/>
  <c r="H18" i="2"/>
  <c r="H15" i="2"/>
  <c r="F26" i="2" l="1"/>
  <c r="H25" i="2"/>
</calcChain>
</file>

<file path=xl/sharedStrings.xml><?xml version="1.0" encoding="utf-8"?>
<sst xmlns="http://schemas.openxmlformats.org/spreadsheetml/2006/main" count="440" uniqueCount="303">
  <si>
    <t>1.0</t>
  </si>
  <si>
    <t>2.0</t>
  </si>
  <si>
    <t>4.0</t>
  </si>
  <si>
    <t>SERVIÇOS INICIAIS</t>
  </si>
  <si>
    <t>PAVIMENTAÇÃO</t>
  </si>
  <si>
    <t>m²</t>
  </si>
  <si>
    <t>m</t>
  </si>
  <si>
    <t>m³</t>
  </si>
  <si>
    <t>ESTRUTURA DE CONCRETO ARMADO</t>
  </si>
  <si>
    <t>COBERTURA</t>
  </si>
  <si>
    <t>ALVENARIA DE VEDAÇÃO</t>
  </si>
  <si>
    <t>ESQUADRIAS -Portas e Janelas</t>
  </si>
  <si>
    <t>Portas</t>
  </si>
  <si>
    <t>73739/001</t>
  </si>
  <si>
    <t>Janelas</t>
  </si>
  <si>
    <t>Mês 01</t>
  </si>
  <si>
    <t>Mês 02</t>
  </si>
  <si>
    <t>PREVENÇÃO DE INCÊNDIOS</t>
  </si>
  <si>
    <t>Suporte para fixação de extintor na parede</t>
  </si>
  <si>
    <t>PINTURA</t>
  </si>
  <si>
    <t>Fundo preparador acrílico 1 demãos,interna e externa, rendimento 0,24 litros/m2</t>
  </si>
  <si>
    <t>Limpeza Geral da Edificação</t>
  </si>
  <si>
    <t>9537</t>
  </si>
  <si>
    <t>PERÍODO</t>
  </si>
  <si>
    <t>TOTAL</t>
  </si>
  <si>
    <t>R$</t>
  </si>
  <si>
    <t>%</t>
  </si>
  <si>
    <t>TOTAL NO MÊS (SIMPLES)</t>
  </si>
  <si>
    <t>TOTAL NO MÊS (ACUMULADO)</t>
  </si>
  <si>
    <t>5.0</t>
  </si>
  <si>
    <t>5.1</t>
  </si>
  <si>
    <t>5.2</t>
  </si>
  <si>
    <t>6.0</t>
  </si>
  <si>
    <t>7.0</t>
  </si>
  <si>
    <t>DEMOLIÇÃO</t>
  </si>
  <si>
    <t>Vergas e contravergas - Concreto armado</t>
  </si>
  <si>
    <t>MUNICÍPIO: CAMPO ALEGRE</t>
  </si>
  <si>
    <t xml:space="preserve">PLANILHA DE CRONOGRAMA FÍSICO-FINANCEIRO </t>
  </si>
  <si>
    <t>7.1</t>
  </si>
  <si>
    <t>ITEM</t>
  </si>
  <si>
    <t>DISCRIMINAÇÃO</t>
  </si>
  <si>
    <t>UNID.</t>
  </si>
  <si>
    <t>QUANT.</t>
  </si>
  <si>
    <t>PROJETO:</t>
  </si>
  <si>
    <t>CUSTO UNITÁRIO</t>
  </si>
  <si>
    <t>88413</t>
  </si>
  <si>
    <t>88489</t>
  </si>
  <si>
    <t>SUBTOTAL</t>
  </si>
  <si>
    <t xml:space="preserve">SERVIÇOS FINAIS </t>
  </si>
  <si>
    <t>Demolição de alvenaria de tijolos furados s/reaproveitamento</t>
  </si>
  <si>
    <t>2.3</t>
  </si>
  <si>
    <t>74130/001</t>
  </si>
  <si>
    <t>BDI</t>
  </si>
  <si>
    <t>VALOR TOTAL C/ BDI</t>
  </si>
  <si>
    <t>Unid.</t>
  </si>
  <si>
    <t>Escavação manual de valas em terra compacta, prof. de 0,5m</t>
  </si>
  <si>
    <t>Forma tabua para concreto em fundacao c/ reaproveitamento 5x</t>
  </si>
  <si>
    <t xml:space="preserve">Fabricação de fôrma para pilares e estruturas similares, em madeira serrada, e=25 mm. </t>
  </si>
  <si>
    <t xml:space="preserve">Fabricação de fôrma para vigas, com madeira serrada, e = 25 mm. </t>
  </si>
  <si>
    <t>Armação aco ca-50 p/1,0m3 de concreto</t>
  </si>
  <si>
    <t>73990/001</t>
  </si>
  <si>
    <t>Chapisco aplicado somente em estruturas de concreto em alvenarias internas, com colher de pedreiro. argamassa traço 1:3 com preparo em betoneira 400l.</t>
  </si>
  <si>
    <t>7.2</t>
  </si>
  <si>
    <t>REVESTIMENTOS</t>
  </si>
  <si>
    <t>Placa de sinalização - extintor</t>
  </si>
  <si>
    <t xml:space="preserve">CÓDIGO (SINAPI) </t>
  </si>
  <si>
    <t>Tubo PVC soldável Ø 25 mm, fornecimento e instalação</t>
  </si>
  <si>
    <t>Joelho 90 soldável - 25mm, fornecimento e instalação</t>
  </si>
  <si>
    <t>Tê 90 soldável - 25mm, fornecimento e instalação</t>
  </si>
  <si>
    <t>un</t>
  </si>
  <si>
    <t>REGISTROS</t>
  </si>
  <si>
    <t>INSTALAÇÕES HIDRAULICA</t>
  </si>
  <si>
    <t>INSTALAÇÕES SANITÁRIA</t>
  </si>
  <si>
    <t>Joelho 90º soldavel com bucha de latão - 25mm - 1/2", fornecimento e instalação</t>
  </si>
  <si>
    <t>Tubo de PVC rígido 50mm, fornec. e instalação</t>
  </si>
  <si>
    <t>Tubo de PVC rígido 100mm, fornec. e instalação</t>
  </si>
  <si>
    <t>Joelho PVC 45º 50mm - fornecimento e instalação</t>
  </si>
  <si>
    <t>11777</t>
  </si>
  <si>
    <t>Mercado</t>
  </si>
  <si>
    <t>Contrapiso em argamassa - regularização dos desniveis existentes</t>
  </si>
  <si>
    <t>Alvenaria de vedação de blocos cerâmicos furados na vertical de 9X19X39cm (espessura de 9cm) de paredes com área líquida maior ou igual a 6m² com vãos e argamassa de assentamento com preparo manual.</t>
  </si>
  <si>
    <t>Calha em chapa de aço galvanizado numero 24, desenvolvimento de 33cm</t>
  </si>
  <si>
    <t>und</t>
  </si>
  <si>
    <t>74130/002</t>
  </si>
  <si>
    <t>6.3</t>
  </si>
  <si>
    <t>6.4</t>
  </si>
  <si>
    <t>1.1</t>
  </si>
  <si>
    <t>74209/001</t>
  </si>
  <si>
    <t>Placa de obra em chapa de aço galvanizado 1,0x1,5m</t>
  </si>
  <si>
    <t>16.0</t>
  </si>
  <si>
    <t>16.2</t>
  </si>
  <si>
    <t>ACESSÓRIOS</t>
  </si>
  <si>
    <t>Localização:</t>
  </si>
  <si>
    <t>PLANILHA DE ORÇAMENTO ESTIMATIVO</t>
  </si>
  <si>
    <t>2.1</t>
  </si>
  <si>
    <t>2.2</t>
  </si>
  <si>
    <t>FUNDAÇÃO</t>
  </si>
  <si>
    <t>PILARES</t>
  </si>
  <si>
    <t>VIGAS SUPERIORES</t>
  </si>
  <si>
    <t>PREÇO UNIT. C/ BDI</t>
  </si>
  <si>
    <t>Rufo em chapa de aço galvanizado número 24, corte de 25 cm, incluso transporte vertical. Af_06/2016</t>
  </si>
  <si>
    <t>Forro em réguas de PVC, frisado, para ambientes residenciais, inclusive estrutura de fixação. Af_05/2017_p</t>
  </si>
  <si>
    <t>Condutor para calha de beiral, diâmetro 100 mm, incluindo conexões e braçadeiras - fornecimento e colocação</t>
  </si>
  <si>
    <t>Concreto FCK = 20mpa, traço 1:2,7:3 (cimento/ areia média/ brita 1) - preparo mecânico com betoneira 400 l. Af_07/2016</t>
  </si>
  <si>
    <t>Extintor incendio  PQS abc 4kg - fornecimento e instalacao</t>
  </si>
  <si>
    <t>Armação aco ca-50 p/1,0m3 de concreto p/ vigas</t>
  </si>
  <si>
    <t>Armação aco ca-50 p/1,0m3 de concreto p/ sapatas</t>
  </si>
  <si>
    <t>Massa única, para recebimento de pintura, em argamassa traço 1:2:8, preparo mecânico com betoneira 400L, aplicada manualmente em faces internas de paredes, espessura de 20mm, com execuçã de com execução de taliscas. AF_06/2014</t>
  </si>
  <si>
    <t>Rodapé em madeira, altura 7cm</t>
  </si>
  <si>
    <t>73886/001</t>
  </si>
  <si>
    <t>6.1</t>
  </si>
  <si>
    <t>6.6</t>
  </si>
  <si>
    <t>Joelho 90 graus, PVC, serie normal, esgoto predial, DN 50 mm, junta elástica, fornecido e instalado em ramal de descarga ou ramal de esgoto sanitário. Af_12/2014</t>
  </si>
  <si>
    <t>Caixa de gordura dupla, circular, em concreto pré-moldado, diâmetro interno = 0,6 m, altura interna = 0,6 m. Af_05/2018</t>
  </si>
  <si>
    <t>Caixa enterrada hidráulica retangular, em alvenaria com blocos de concreto, dimensões internas: 0,4x0,4x0,4 m para rede de drenagem. Af_05/2018</t>
  </si>
  <si>
    <t>Drenagem Pluvial</t>
  </si>
  <si>
    <t>97599</t>
  </si>
  <si>
    <t>Luminária de emergência - fornecimento e instalação. Af_11/2017</t>
  </si>
  <si>
    <t>Registro de gaveta bruto, latão, roscável, 3/4", com acabamento e canopla cromados. Fornecido e instalado em ramal de água. Af_12/2014</t>
  </si>
  <si>
    <t>Telhamento com telha cerâmica de encaixe, tipo portuguesa, com até 2 águas, incluso transporte vertical. Af_06/2016</t>
  </si>
  <si>
    <t>Remoção de telhas, de fibrocimento, metálica e cerâmica, de forma manual, sem reaproveitamento. Af_12/2017</t>
  </si>
  <si>
    <t>Lixamento e pintura do piso em madeira (sala multiuso)</t>
  </si>
  <si>
    <t>90822 + 91307</t>
  </si>
  <si>
    <t>72120 + 84885</t>
  </si>
  <si>
    <t>Remoção de piso de madeira</t>
  </si>
  <si>
    <t>4.1</t>
  </si>
  <si>
    <t>4.2</t>
  </si>
  <si>
    <t>4.4</t>
  </si>
  <si>
    <t>4.5</t>
  </si>
  <si>
    <t>4.6</t>
  </si>
  <si>
    <t>4.7</t>
  </si>
  <si>
    <t>4.8</t>
  </si>
  <si>
    <t>6.2</t>
  </si>
  <si>
    <t>7.3</t>
  </si>
  <si>
    <t>8.0</t>
  </si>
  <si>
    <t>8.1</t>
  </si>
  <si>
    <t>8.1.1</t>
  </si>
  <si>
    <t>8.1.3</t>
  </si>
  <si>
    <t>8.1.4</t>
  </si>
  <si>
    <t>8.2</t>
  </si>
  <si>
    <t>8.2.1</t>
  </si>
  <si>
    <t>8.2.2</t>
  </si>
  <si>
    <t>13.0</t>
  </si>
  <si>
    <t>13.1</t>
  </si>
  <si>
    <t>13.2</t>
  </si>
  <si>
    <t>14.0</t>
  </si>
  <si>
    <t>14.1</t>
  </si>
  <si>
    <t>14.2</t>
  </si>
  <si>
    <t>14.3</t>
  </si>
  <si>
    <t>15.0</t>
  </si>
  <si>
    <t>15.1</t>
  </si>
  <si>
    <t>Bancadas cozinha em Granito Cinza Andorinha/ Acabamento 45° com 4 cm/ Rodapia com 7 cm/ Sem rodapés - fornec. e instalação. (cozinha, despensa e lactário)</t>
  </si>
  <si>
    <t>5.3</t>
  </si>
  <si>
    <t>INSTALAÇÕES DE ELETRICIDADE, TELEFONIA E LÓGICA</t>
  </si>
  <si>
    <t>Instalações de eletricidade</t>
  </si>
  <si>
    <t>Instalações de telefonia</t>
  </si>
  <si>
    <t>Instalações de lógica</t>
  </si>
  <si>
    <t>Tomada baixa de embutir (1 módulo) 2P+T 10A 30 cm, incluindo suporte e placa- fornecimento e instalação</t>
  </si>
  <si>
    <t>Toamda média de embutir (1 módulo) 2P+T 10A 110 cm, incluindo suporte e placa- fornecimento e instalação</t>
  </si>
  <si>
    <t>Tomada alta de embutir (1 módulo) 2P+T 10A 210cm, incluindo suporte e placa- fornecimento e instalação</t>
  </si>
  <si>
    <t>Interuptor simples (1 módulo) 110cm, incluindo suporte e placa- fornecimento e instalação</t>
  </si>
  <si>
    <t>Balizador de parede sobrepor alto 200cm led 5w</t>
  </si>
  <si>
    <t>Rele Fotoeletrico p/ comando de iluminação externa 220V/1000W-  Fornecimento e instalação</t>
  </si>
  <si>
    <t>Disjuntor termomagnético monopolar padrão nema (americado) de 10A- Fornecimento e instalação</t>
  </si>
  <si>
    <t>Disjuntor termomagnético monopolar padrão nema (americado) de 16A- Fornecimento e instalação</t>
  </si>
  <si>
    <t>Disjuntor termomagnético monopolar padrão nema (americado) de 32A- Fornecimento e instalação</t>
  </si>
  <si>
    <t>DPS 275V-40KA (dispostivo de proteção contra surtos)</t>
  </si>
  <si>
    <t>74131/005</t>
  </si>
  <si>
    <t>Cabo de cobre flexível isolado, 1,5mm², anti-chama 450/750 V, para Circuitos terminais- fornecimento e instalação</t>
  </si>
  <si>
    <t>Cabo de cobre flexível isolado, 2,5mm², anti-chama 450/750 V, para Circuitos terminais- fornecimento e instalação</t>
  </si>
  <si>
    <t>Cabo de cobre flexível isolado, 6,0mm², anti-chama 450/750 V, para Circuitos terminais- fornecimento e instalação</t>
  </si>
  <si>
    <t>Eletroduto PVC flexivel 3/4", inclusive conexões</t>
  </si>
  <si>
    <t>Caixa PVC 4x2", fornecimento e instalação</t>
  </si>
  <si>
    <t>Eletroduto flexível corrugado, PVC, DN 25 mm (3/4"), para circuitos terminais, instalado em parede - fornecimento e instalação. Af_12/2015</t>
  </si>
  <si>
    <t>Cabo eletrônico categoria 6, instalado em edificação institucional - fornecimento e instalação. Af_03/2018</t>
  </si>
  <si>
    <t>98297</t>
  </si>
  <si>
    <t>Tomada para telefone rj11 - fornecimento e instalação. Af_03/2018</t>
  </si>
  <si>
    <t>Tomada de rede rj45 - fornecimento e instalação. Af_03/2018</t>
  </si>
  <si>
    <t>Eletroduto PVC flexivel 3/4", inclusive conexões - exclusivo para rede de lógica</t>
  </si>
  <si>
    <t>NOME E Nº CREA DO RESPONSÁVEL TÉCNICO:                                   Bruno Seefeld   CREA-SC -   114853-4</t>
  </si>
  <si>
    <t>Reforma Anexo Prefeitura</t>
  </si>
  <si>
    <t xml:space="preserve"> Rua Cel. Bueno Franco, nº 292, bairro Centro</t>
  </si>
  <si>
    <t xml:space="preserve">VALOR TOTAL REFORMA </t>
  </si>
  <si>
    <t xml:space="preserve">Remoção de divisórias </t>
  </si>
  <si>
    <t>Demolição de revestimento cerâmico, de forma manual, sem reaproveitamento. Af_12/2017</t>
  </si>
  <si>
    <t>Retirada de calçamento em lajotas</t>
  </si>
  <si>
    <t>Parede com placas de gesso acartonado (drywall), para uso interno, com duas faces simples e estrutura metálica com guias simples, sem vãos. Af_06/2017_p</t>
  </si>
  <si>
    <t xml:space="preserve">Instalação de isolamento com lã de rocha em paredes drywall. Af_06/2017 somente na parede entre a cozinha e a sala planejamento 2 </t>
  </si>
  <si>
    <t>Remoção de portas, sem reaproveitamento</t>
  </si>
  <si>
    <t>Remoção de Janelas, sem reaproveitamento</t>
  </si>
  <si>
    <t>97647+97650</t>
  </si>
  <si>
    <t>Revestimento cerâmico para paredes internas com placas tipo grês ou semi-grês de dimensões 20x20 cm aplicadas em ambientes de área maior que 5 m² na altura inteira das paredes. (parede pia e 1,5 m na parede do fogão - h=2,70m)</t>
  </si>
  <si>
    <t>P2 - Porta de vidro temperado 10mm, 100x210cm, ferragem branca, completa - fornecimento e instalação</t>
  </si>
  <si>
    <t>P3 - Porta de madeira para pintura, semi-oca, 80x210cm, espessura de 3,5cm, itens inclusos: dobradiças, montagem e instalação do batente, fechadura com execução do furo - fornecimento e instalação</t>
  </si>
  <si>
    <t>P1 - Porta de vidro temperado 10mm, 200x210cm, ferragem branca, completa - fornecimento e instalação</t>
  </si>
  <si>
    <t>P3 - Troca de posicionamento de portas em divisórias</t>
  </si>
  <si>
    <t>Tela mosquiteiro, removivel em perfil de aluminio, 2,00x1,20m - janela cozinha</t>
  </si>
  <si>
    <t>J1, J2 e J3 - Janela de vidro temperado 6mm, de correr</t>
  </si>
  <si>
    <t>Divisórias Eucatex brancas com perfilados e instalação inclusive guiche</t>
  </si>
  <si>
    <t>Porta para divisorias eucatex - completa</t>
  </si>
  <si>
    <t>Reinstalação de Luminária Calha Fluor, LED 36W 6500K Bivolt Slim de sobrepor LED 120cm</t>
  </si>
  <si>
    <t>Luminária Calha Fluor, LED 36W 6500K Bivolt Slim de sobrepor LED 120cm - fornecimanto e instalação</t>
  </si>
  <si>
    <t>Eletrocalha lisa tipo U 50x50mm, inclusive conexões</t>
  </si>
  <si>
    <t>Execução de passeio (calçada) ou piso de concreto com concreto moldado in loco, usinado, acabamento convencional, não armado. Af_07/2016 e=7cm (apliaçao + calçadas externas)</t>
  </si>
  <si>
    <t>Tela Q196 - 2,45x6m (área de entrada de carros)</t>
  </si>
  <si>
    <t>Pintura em madeira, duas demãos - pintura de caixilhos, vista e porta e forro beiral (inclusive limpeza de forro existente)</t>
  </si>
  <si>
    <t>Tinta acrílica, paredes internas e externas, 2 demãos, rendimento 0,16 litros/m2. (áreas internas da reforma e todas as áreas externas do predio ANEXO)</t>
  </si>
  <si>
    <t>Revestimento cerâmico para piso com placas tipo esmaltada extra de dimensões 60x60 cm aplicada em ambientes de área maior que 10 m2. Af_06/2014</t>
  </si>
  <si>
    <t>Rodapé cerâmico de 7cm de altura com placas tipo esmaltada extra de dimensões 60x60cm. Af_06/2014 - (somente na cozinha e sala de reunião)</t>
  </si>
  <si>
    <t>Forro de madeira de 1ª qualidade para beiral e escada existente</t>
  </si>
  <si>
    <t>Pilar de madeira de 1ª (garapeira, itauba e angelim) 15x15</t>
  </si>
  <si>
    <t>Viga de madeira de 1ª (garapeira, itauba e angelim) 10x20, apoiadas nos pilares de madeira e no encontro com a alvenaria em cantoneiras/mão francesa metálica</t>
  </si>
  <si>
    <t>Imunização de madeiramento para cobertura utilizando cupinicida incolor</t>
  </si>
  <si>
    <t>Trama de madeira composta por ripas, caibros e terças para telhados de até 2 águas para telha de encaixe de cerâmica ou de concreto, incluso transporte vertical. Af_07/2019</t>
  </si>
  <si>
    <t>Fabricação e instalação de tesoura inteira em madeira não aparelhada, vão de 3,7 m, para telha cerâmica ou de concreto, incluso içamento. Af_07/2019</t>
  </si>
  <si>
    <t>Cuba em aço inox 56x34x18 Franke ou similar</t>
  </si>
  <si>
    <t>Isolante térmico aluminizado 2 faces, para telhado</t>
  </si>
  <si>
    <t>Torneira quente e frio + aquecedor versatil lorenzetti ou similar, 5500W - fornecimento e instalação (incluso fiação de 6mm², caixa elétrica, eletroduto, disjuntor, aterramento).</t>
  </si>
  <si>
    <t>Cabo de cobre flexível isolado, 10,0mm², anti-chama 450/750 V, para Circuitos terminais- fornecimento e instalação</t>
  </si>
  <si>
    <t>Quadro de distribuição de energia de embutir, em chapa metálica, p/6-8 disjuntores, com barramento trifásico e neutro- fornecimento e instalação</t>
  </si>
  <si>
    <t>Luminarias spot, para beiral, com lampada de LED 9W</t>
  </si>
  <si>
    <t>3.0</t>
  </si>
  <si>
    <t>3.1</t>
  </si>
  <si>
    <t>3.1.1</t>
  </si>
  <si>
    <t>3.1.2</t>
  </si>
  <si>
    <t>3.1.3</t>
  </si>
  <si>
    <t>3.1.4</t>
  </si>
  <si>
    <t>3.1.5</t>
  </si>
  <si>
    <t>3.2</t>
  </si>
  <si>
    <t>3.2.1</t>
  </si>
  <si>
    <t>3.2.2</t>
  </si>
  <si>
    <t>3.2.3</t>
  </si>
  <si>
    <t>3.2.4</t>
  </si>
  <si>
    <t>3.3</t>
  </si>
  <si>
    <t>3.3.1</t>
  </si>
  <si>
    <t>3.3.2</t>
  </si>
  <si>
    <t>3.3.3</t>
  </si>
  <si>
    <t>3.3.4</t>
  </si>
  <si>
    <t>4.3</t>
  </si>
  <si>
    <t>4.9</t>
  </si>
  <si>
    <t>4.10</t>
  </si>
  <si>
    <t>5.4</t>
  </si>
  <si>
    <t>5.5</t>
  </si>
  <si>
    <t>5.6</t>
  </si>
  <si>
    <t>6.5</t>
  </si>
  <si>
    <t>6.7</t>
  </si>
  <si>
    <t>8.1.2</t>
  </si>
  <si>
    <t>9.0</t>
  </si>
  <si>
    <t>9.1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</si>
  <si>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</si>
  <si>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</si>
  <si>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</si>
  <si>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</si>
  <si>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</si>
  <si>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</si>
  <si>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</si>
  <si>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</si>
  <si>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</si>
  <si>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</si>
  <si>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</si>
  <si>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</si>
  <si>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</si>
  <si>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</si>
  <si>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</si>
  <si>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</si>
  <si>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</si>
  <si>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</si>
  <si>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</si>
  <si>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9.1.20</t>
  </si>
  <si>
    <t>9.1.21</t>
  </si>
  <si>
    <t>9.2</t>
  </si>
  <si>
    <t>9.2.1</t>
  </si>
  <si>
    <t>9.2.2</t>
  </si>
  <si>
    <t>9.2.3</t>
  </si>
  <si>
    <t>9.3</t>
  </si>
  <si>
    <t>9.3.1</t>
  </si>
  <si>
    <t>9.3.2</t>
  </si>
  <si>
    <t>9.3.3</t>
  </si>
  <si>
    <t>9.3.4</t>
  </si>
  <si>
    <t>9.3.5</t>
  </si>
  <si>
    <t>10.0</t>
  </si>
  <si>
    <t>10.1</t>
  </si>
  <si>
    <t>10.2</t>
  </si>
  <si>
    <t>10.3</t>
  </si>
  <si>
    <t>10.4</t>
  </si>
  <si>
    <t>10.5</t>
  </si>
  <si>
    <t>11.0</t>
  </si>
  <si>
    <t>11.1</t>
  </si>
  <si>
    <t>11.2</t>
  </si>
  <si>
    <t>11.3</t>
  </si>
  <si>
    <t>11.4</t>
  </si>
  <si>
    <t>12.0</t>
  </si>
  <si>
    <t>12.1</t>
  </si>
  <si>
    <t>12.2</t>
  </si>
  <si>
    <t>13.3</t>
  </si>
  <si>
    <t>13.4</t>
  </si>
  <si>
    <t>15.2</t>
  </si>
  <si>
    <t>15.3</t>
  </si>
  <si>
    <t>16.1</t>
  </si>
  <si>
    <t>Cobertura em toldo, acesso. Montagem e remontagem de toldo existente.</t>
  </si>
  <si>
    <t>PROJETO: Reforma do prédio anexo da Prefeitura</t>
  </si>
  <si>
    <t>LOCALIZAÇÃO:     Rua Cel. Bueno Franco, Bairro Centro</t>
  </si>
  <si>
    <t>DATA : 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</si>
</sst>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 &quot;#,##0.00"/>
    <numFmt numFmtId="167" formatCode="&quot;R$&quot;\ #,##0.00"/>
    <numFmt numFmtId="168" formatCode="0.0%"/>
  </numFmts>
  <fonts count="22" x14ac:knownFonts="1">
    <font>
      <sz val="10"/>
      <name val="Arial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6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8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39" fontId="6" fillId="0" borderId="1" xfId="6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49" fontId="5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2" fontId="6" fillId="0" borderId="1" xfId="0" applyNumberFormat="1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9" fontId="6" fillId="2" borderId="1" xfId="6" applyNumberFormat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164" fontId="6" fillId="5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left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justify"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5" fontId="6" fillId="5" borderId="1" xfId="6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2" fontId="11" fillId="5" borderId="1" xfId="0" applyNumberFormat="1" applyFont="1" applyFill="1" applyBorder="1" applyAlignment="1">
      <alignment horizontal="center" vertical="center"/>
    </xf>
    <xf numFmtId="39" fontId="6" fillId="5" borderId="1" xfId="6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6" fillId="4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165" fontId="6" fillId="2" borderId="1" xfId="5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" fontId="6" fillId="5" borderId="1" xfId="1" applyNumberFormat="1" applyFont="1" applyFill="1" applyBorder="1" applyAlignment="1">
      <alignment horizontal="center" vertical="center"/>
    </xf>
    <xf numFmtId="167" fontId="6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8" fontId="17" fillId="0" borderId="5" xfId="4" applyNumberFormat="1" applyFont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164" fontId="6" fillId="5" borderId="11" xfId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 wrapText="1"/>
    </xf>
    <xf numFmtId="164" fontId="6" fillId="0" borderId="15" xfId="1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166" fontId="11" fillId="2" borderId="17" xfId="0" applyNumberFormat="1" applyFont="1" applyFill="1" applyBorder="1" applyAlignment="1">
      <alignment horizontal="center" vertical="center" wrapText="1"/>
    </xf>
    <xf numFmtId="166" fontId="11" fillId="2" borderId="18" xfId="0" applyNumberFormat="1" applyFont="1" applyFill="1" applyBorder="1" applyAlignment="1">
      <alignment horizontal="center" vertical="center" wrapText="1"/>
    </xf>
    <xf numFmtId="165" fontId="6" fillId="0" borderId="12" xfId="6" applyFont="1" applyFill="1" applyBorder="1" applyAlignment="1">
      <alignment horizontal="center" vertical="center"/>
    </xf>
    <xf numFmtId="164" fontId="6" fillId="0" borderId="19" xfId="1" applyFont="1" applyFill="1" applyBorder="1" applyAlignment="1">
      <alignment horizontal="center" vertical="center"/>
    </xf>
    <xf numFmtId="167" fontId="11" fillId="2" borderId="16" xfId="0" applyNumberFormat="1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167" fontId="6" fillId="0" borderId="19" xfId="0" applyNumberFormat="1" applyFont="1" applyFill="1" applyBorder="1" applyAlignment="1">
      <alignment horizontal="center" vertical="center" wrapText="1"/>
    </xf>
    <xf numFmtId="166" fontId="6" fillId="0" borderId="19" xfId="0" applyNumberFormat="1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/>
    </xf>
    <xf numFmtId="167" fontId="11" fillId="0" borderId="19" xfId="0" applyNumberFormat="1" applyFont="1" applyFill="1" applyBorder="1" applyAlignment="1">
      <alignment horizontal="center" vertical="center" wrapText="1"/>
    </xf>
    <xf numFmtId="166" fontId="11" fillId="0" borderId="19" xfId="0" applyNumberFormat="1" applyFont="1" applyFill="1" applyBorder="1" applyAlignment="1">
      <alignment horizontal="center" vertical="center" wrapText="1"/>
    </xf>
    <xf numFmtId="164" fontId="6" fillId="5" borderId="19" xfId="1" applyFont="1" applyFill="1" applyBorder="1" applyAlignment="1">
      <alignment horizontal="center" vertical="center"/>
    </xf>
    <xf numFmtId="164" fontId="11" fillId="2" borderId="16" xfId="1" applyFont="1" applyFill="1" applyBorder="1" applyAlignment="1">
      <alignment horizontal="center" vertical="center"/>
    </xf>
    <xf numFmtId="164" fontId="11" fillId="2" borderId="17" xfId="1" applyFont="1" applyFill="1" applyBorder="1" applyAlignment="1">
      <alignment horizontal="center" vertical="center"/>
    </xf>
    <xf numFmtId="164" fontId="11" fillId="2" borderId="18" xfId="1" applyFont="1" applyFill="1" applyBorder="1" applyAlignment="1">
      <alignment horizontal="center" vertical="center"/>
    </xf>
    <xf numFmtId="164" fontId="11" fillId="2" borderId="17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167" fontId="11" fillId="2" borderId="17" xfId="0" applyNumberFormat="1" applyFont="1" applyFill="1" applyBorder="1" applyAlignment="1">
      <alignment horizontal="center" vertical="center" wrapText="1"/>
    </xf>
    <xf numFmtId="167" fontId="11" fillId="2" borderId="18" xfId="0" applyNumberFormat="1" applyFont="1" applyFill="1" applyBorder="1" applyAlignment="1">
      <alignment horizontal="center" vertical="center" wrapText="1"/>
    </xf>
    <xf numFmtId="164" fontId="6" fillId="0" borderId="19" xfId="1" applyFont="1" applyFill="1" applyBorder="1" applyAlignment="1" applyProtection="1">
      <alignment horizontal="center" vertical="center"/>
    </xf>
    <xf numFmtId="10" fontId="11" fillId="2" borderId="16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7" fillId="0" borderId="20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168" fontId="17" fillId="0" borderId="6" xfId="4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167" fontId="6" fillId="5" borderId="11" xfId="0" applyNumberFormat="1" applyFont="1" applyFill="1" applyBorder="1" applyAlignment="1">
      <alignment horizontal="center" vertical="center" wrapText="1"/>
    </xf>
    <xf numFmtId="165" fontId="6" fillId="5" borderId="12" xfId="6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166" fontId="15" fillId="5" borderId="39" xfId="0" applyNumberFormat="1" applyFont="1" applyFill="1" applyBorder="1" applyAlignment="1">
      <alignment horizontal="center" vertical="center" wrapText="1"/>
    </xf>
    <xf numFmtId="166" fontId="21" fillId="6" borderId="36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39" fontId="9" fillId="0" borderId="1" xfId="6" applyNumberFormat="1" applyFont="1" applyBorder="1" applyAlignment="1">
      <alignment horizontal="right" wrapText="1"/>
    </xf>
    <xf numFmtId="164" fontId="9" fillId="7" borderId="1" xfId="1" applyFont="1" applyFill="1" applyBorder="1" applyAlignment="1">
      <alignment horizontal="right" wrapText="1"/>
    </xf>
    <xf numFmtId="10" fontId="9" fillId="2" borderId="2" xfId="6" applyNumberFormat="1" applyFont="1" applyFill="1" applyBorder="1" applyAlignment="1">
      <alignment horizontal="center" vertical="center" wrapText="1"/>
    </xf>
    <xf numFmtId="39" fontId="9" fillId="2" borderId="1" xfId="6" applyNumberFormat="1" applyFont="1" applyFill="1" applyBorder="1" applyAlignment="1">
      <alignment horizontal="right" wrapText="1"/>
    </xf>
    <xf numFmtId="10" fontId="9" fillId="2" borderId="4" xfId="0" applyNumberFormat="1" applyFont="1" applyFill="1" applyBorder="1" applyAlignment="1">
      <alignment vertical="center" wrapText="1"/>
    </xf>
    <xf numFmtId="9" fontId="9" fillId="0" borderId="1" xfId="6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Border="1"/>
    <xf numFmtId="0" fontId="1" fillId="0" borderId="3" xfId="0" applyFont="1" applyBorder="1" applyAlignment="1">
      <alignment horizontal="center" vertical="top"/>
    </xf>
    <xf numFmtId="0" fontId="17" fillId="0" borderId="1" xfId="0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5" borderId="1" xfId="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" fillId="0" borderId="1" xfId="2" applyFont="1" applyFill="1" applyBorder="1" applyAlignment="1">
      <alignment vertical="center" wrapText="1"/>
    </xf>
    <xf numFmtId="167" fontId="11" fillId="5" borderId="20" xfId="0" applyNumberFormat="1" applyFont="1" applyFill="1" applyBorder="1" applyAlignment="1">
      <alignment horizontal="center" vertical="center" wrapText="1"/>
    </xf>
    <xf numFmtId="166" fontId="11" fillId="5" borderId="15" xfId="0" applyNumberFormat="1" applyFont="1" applyFill="1" applyBorder="1" applyAlignment="1">
      <alignment horizontal="center" vertical="center" wrapText="1"/>
    </xf>
    <xf numFmtId="166" fontId="11" fillId="5" borderId="6" xfId="0" applyNumberFormat="1" applyFont="1" applyFill="1" applyBorder="1" applyAlignment="1">
      <alignment horizontal="center" vertical="center" wrapText="1"/>
    </xf>
    <xf numFmtId="39" fontId="1" fillId="0" borderId="1" xfId="6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49" fontId="1" fillId="5" borderId="12" xfId="0" applyNumberFormat="1" applyFont="1" applyFill="1" applyBorder="1" applyAlignment="1">
      <alignment horizontal="center" vertical="center"/>
    </xf>
    <xf numFmtId="10" fontId="9" fillId="2" borderId="22" xfId="0" applyNumberFormat="1" applyFont="1" applyFill="1" applyBorder="1" applyAlignment="1">
      <alignment vertical="center" wrapText="1"/>
    </xf>
    <xf numFmtId="164" fontId="9" fillId="2" borderId="21" xfId="1" applyFont="1" applyFill="1" applyBorder="1" applyAlignment="1">
      <alignment horizontal="right" wrapText="1"/>
    </xf>
    <xf numFmtId="164" fontId="9" fillId="2" borderId="10" xfId="1" applyFont="1" applyFill="1" applyBorder="1" applyAlignment="1">
      <alignment horizontal="right" vertical="center" wrapText="1"/>
    </xf>
    <xf numFmtId="164" fontId="9" fillId="2" borderId="4" xfId="1" applyFont="1" applyFill="1" applyBorder="1" applyAlignment="1">
      <alignment horizontal="right" vertical="center" wrapText="1"/>
    </xf>
    <xf numFmtId="39" fontId="9" fillId="8" borderId="1" xfId="6" applyNumberFormat="1" applyFont="1" applyFill="1" applyBorder="1" applyAlignment="1">
      <alignment horizontal="right" wrapText="1"/>
    </xf>
    <xf numFmtId="9" fontId="9" fillId="8" borderId="1" xfId="6" applyNumberFormat="1" applyFont="1" applyFill="1" applyBorder="1" applyAlignment="1">
      <alignment horizontal="center" wrapText="1"/>
    </xf>
    <xf numFmtId="164" fontId="6" fillId="5" borderId="11" xfId="1" applyFont="1" applyFill="1" applyBorder="1" applyAlignment="1" applyProtection="1">
      <alignment horizontal="center" vertical="center"/>
    </xf>
    <xf numFmtId="164" fontId="6" fillId="5" borderId="1" xfId="1" applyFont="1" applyFill="1" applyBorder="1" applyAlignment="1" applyProtection="1">
      <alignment horizontal="center" vertical="center"/>
    </xf>
    <xf numFmtId="164" fontId="6" fillId="5" borderId="20" xfId="1" applyFont="1" applyFill="1" applyBorder="1" applyAlignment="1" applyProtection="1">
      <alignment horizontal="center" vertical="center"/>
    </xf>
    <xf numFmtId="164" fontId="6" fillId="5" borderId="1" xfId="1" applyFont="1" applyFill="1" applyBorder="1" applyAlignment="1">
      <alignment horizontal="center" vertical="center" wrapText="1"/>
    </xf>
    <xf numFmtId="164" fontId="6" fillId="5" borderId="11" xfId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vertical="center" wrapText="1"/>
    </xf>
    <xf numFmtId="0" fontId="1" fillId="5" borderId="1" xfId="2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 wrapText="1"/>
    </xf>
    <xf numFmtId="167" fontId="1" fillId="5" borderId="1" xfId="0" applyNumberFormat="1" applyFont="1" applyFill="1" applyBorder="1" applyAlignment="1">
      <alignment horizontal="center" vertical="center" wrapText="1"/>
    </xf>
    <xf numFmtId="164" fontId="19" fillId="5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64" fontId="6" fillId="5" borderId="20" xfId="1" applyFont="1" applyFill="1" applyBorder="1" applyAlignment="1">
      <alignment horizontal="center" vertical="center"/>
    </xf>
    <xf numFmtId="167" fontId="6" fillId="5" borderId="15" xfId="0" applyNumberFormat="1" applyFont="1" applyFill="1" applyBorder="1" applyAlignment="1">
      <alignment horizontal="center" vertical="center" wrapText="1"/>
    </xf>
    <xf numFmtId="166" fontId="6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wrapText="1"/>
    </xf>
    <xf numFmtId="0" fontId="11" fillId="2" borderId="1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2" fontId="1" fillId="5" borderId="1" xfId="0" applyNumberFormat="1" applyFont="1" applyFill="1" applyBorder="1" applyAlignment="1">
      <alignment horizontal="justify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1" fillId="6" borderId="35" xfId="0" applyFont="1" applyFill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8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28" xfId="0" applyBorder="1" applyAlignment="1"/>
    <xf numFmtId="10" fontId="9" fillId="2" borderId="40" xfId="0" applyNumberFormat="1" applyFont="1" applyFill="1" applyBorder="1" applyAlignment="1">
      <alignment vertical="center" wrapText="1"/>
    </xf>
    <xf numFmtId="10" fontId="9" fillId="2" borderId="24" xfId="0" applyNumberFormat="1" applyFont="1" applyFill="1" applyBorder="1" applyAlignment="1">
      <alignment horizontal="right" vertical="center" wrapText="1"/>
    </xf>
    <xf numFmtId="39" fontId="9" fillId="2" borderId="11" xfId="6" applyNumberFormat="1" applyFont="1" applyFill="1" applyBorder="1" applyAlignment="1">
      <alignment horizontal="right" wrapText="1"/>
    </xf>
    <xf numFmtId="10" fontId="9" fillId="2" borderId="41" xfId="6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39" fontId="9" fillId="2" borderId="21" xfId="6" applyNumberFormat="1" applyFont="1" applyFill="1" applyBorder="1" applyAlignment="1">
      <alignment horizontal="right" wrapText="1"/>
    </xf>
    <xf numFmtId="10" fontId="9" fillId="2" borderId="23" xfId="6" applyNumberFormat="1" applyFont="1" applyFill="1" applyBorder="1" applyAlignment="1">
      <alignment horizontal="center" wrapText="1"/>
    </xf>
    <xf numFmtId="39" fontId="9" fillId="2" borderId="10" xfId="6" applyNumberFormat="1" applyFont="1" applyFill="1" applyBorder="1" applyAlignment="1">
      <alignment horizontal="center" wrapText="1"/>
    </xf>
    <xf numFmtId="39" fontId="9" fillId="2" borderId="5" xfId="6" applyNumberFormat="1" applyFont="1" applyFill="1" applyBorder="1" applyAlignment="1">
      <alignment horizontal="center" wrapText="1"/>
    </xf>
    <xf numFmtId="164" fontId="1" fillId="5" borderId="11" xfId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2" fontId="6" fillId="5" borderId="28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 wrapText="1"/>
    </xf>
  </cellXfs>
  <cellStyles count="11">
    <cellStyle name="Moeda" xfId="1" builtinId="4"/>
    <cellStyle name="Normal" xfId="0" builtinId="0"/>
    <cellStyle name="Normal 2" xfId="2"/>
    <cellStyle name="Normal 2 2" xfId="8"/>
    <cellStyle name="Normal 3 3" xfId="3"/>
    <cellStyle name="Porcentagem" xfId="4" builtinId="5"/>
    <cellStyle name="Porcentagem 2" xfId="7"/>
    <cellStyle name="Separador de milhares 2" xfId="5"/>
    <cellStyle name="Separador de milhares 2 2" xfId="9"/>
    <cellStyle name="Vírgula" xfId="6" builtinId="3"/>
    <cellStyle name="Vírgula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showGridLines="0" tabSelected="1" view="pageBreakPreview" topLeftCell="A147" zoomScale="80" zoomScaleNormal="90" zoomScaleSheetLayoutView="80" workbookViewId="0">
      <selection activeCell="Q166" sqref="Q166"/>
    </sheetView>
  </sheetViews>
  <sheetFormatPr defaultRowHeight="12.75" x14ac:dyDescent="0.2"/>
  <cols>
    <col min="1" max="1" width="14.7109375" style="17" customWidth="1"/>
    <col min="2" max="2" width="14.5703125" style="47" customWidth="1"/>
    <col min="3" max="3" width="40.28515625" style="17" customWidth="1"/>
    <col min="4" max="4" width="6" style="17" customWidth="1"/>
    <col min="5" max="5" width="11" style="75" customWidth="1"/>
    <col min="6" max="6" width="13" style="75" customWidth="1"/>
    <col min="7" max="7" width="15.28515625" style="75" customWidth="1"/>
    <col min="8" max="8" width="18.85546875" style="75" customWidth="1"/>
    <col min="9" max="16384" width="9.140625" style="17"/>
  </cols>
  <sheetData>
    <row r="1" spans="1:21" ht="15" customHeight="1" x14ac:dyDescent="0.2">
      <c r="A1" s="209" t="s">
        <v>93</v>
      </c>
      <c r="B1" s="210"/>
      <c r="C1" s="210"/>
      <c r="D1" s="210"/>
      <c r="E1" s="210"/>
      <c r="F1" s="210"/>
      <c r="G1" s="211"/>
      <c r="H1" s="212"/>
    </row>
    <row r="2" spans="1:21" ht="12.75" customHeight="1" x14ac:dyDescent="0.2">
      <c r="A2" s="213" t="s">
        <v>36</v>
      </c>
      <c r="B2" s="214"/>
      <c r="C2" s="214"/>
      <c r="D2" s="214"/>
      <c r="E2" s="214"/>
      <c r="F2" s="214"/>
      <c r="G2" s="215"/>
      <c r="H2" s="216"/>
    </row>
    <row r="3" spans="1:21" ht="12.75" customHeight="1" x14ac:dyDescent="0.2">
      <c r="A3" s="213"/>
      <c r="B3" s="214"/>
      <c r="C3" s="214"/>
      <c r="D3" s="214"/>
      <c r="E3" s="214"/>
      <c r="F3" s="214"/>
      <c r="G3" s="215"/>
      <c r="H3" s="216"/>
    </row>
    <row r="4" spans="1:21" ht="15" customHeight="1" x14ac:dyDescent="0.2">
      <c r="A4" s="129" t="s">
        <v>43</v>
      </c>
      <c r="B4" s="214" t="s">
        <v>180</v>
      </c>
      <c r="C4" s="214"/>
      <c r="D4" s="214"/>
      <c r="E4" s="214"/>
      <c r="F4" s="214"/>
      <c r="G4" s="217"/>
      <c r="H4" s="218"/>
    </row>
    <row r="5" spans="1:21" ht="15.75" thickBot="1" x14ac:dyDescent="0.25">
      <c r="A5" s="151" t="s">
        <v>92</v>
      </c>
      <c r="B5" s="219" t="s">
        <v>181</v>
      </c>
      <c r="C5" s="220"/>
      <c r="D5" s="220"/>
      <c r="E5" s="220"/>
      <c r="F5" s="150"/>
      <c r="G5" s="90" t="s">
        <v>52</v>
      </c>
      <c r="H5" s="91">
        <v>0.20499999999999999</v>
      </c>
    </row>
    <row r="6" spans="1:21" ht="15.75" customHeight="1" x14ac:dyDescent="0.2">
      <c r="A6" s="121"/>
      <c r="B6" s="122"/>
      <c r="C6" s="123"/>
      <c r="D6" s="123"/>
      <c r="E6" s="123"/>
      <c r="F6" s="124"/>
      <c r="G6" s="125"/>
      <c r="H6" s="126"/>
    </row>
    <row r="7" spans="1:21" ht="13.5" customHeight="1" x14ac:dyDescent="0.2">
      <c r="A7" s="221" t="s">
        <v>39</v>
      </c>
      <c r="B7" s="227" t="s">
        <v>65</v>
      </c>
      <c r="C7" s="221" t="s">
        <v>40</v>
      </c>
      <c r="D7" s="221" t="s">
        <v>41</v>
      </c>
      <c r="E7" s="221" t="s">
        <v>42</v>
      </c>
      <c r="F7" s="221" t="s">
        <v>44</v>
      </c>
      <c r="G7" s="221" t="s">
        <v>99</v>
      </c>
      <c r="H7" s="221" t="s">
        <v>53</v>
      </c>
    </row>
    <row r="8" spans="1:21" s="45" customFormat="1" x14ac:dyDescent="0.2">
      <c r="A8" s="221"/>
      <c r="B8" s="227"/>
      <c r="C8" s="221"/>
      <c r="D8" s="221"/>
      <c r="E8" s="221"/>
      <c r="F8" s="221"/>
      <c r="G8" s="221"/>
      <c r="H8" s="221"/>
    </row>
    <row r="9" spans="1:21" s="45" customFormat="1" x14ac:dyDescent="0.2">
      <c r="A9" s="27" t="s">
        <v>0</v>
      </c>
      <c r="B9" s="44"/>
      <c r="C9" s="28" t="s">
        <v>3</v>
      </c>
      <c r="D9" s="35"/>
      <c r="E9" s="71"/>
      <c r="F9" s="71"/>
      <c r="G9" s="71"/>
      <c r="H9" s="71"/>
    </row>
    <row r="10" spans="1:21" ht="26.25" thickBot="1" x14ac:dyDescent="0.25">
      <c r="A10" s="15" t="s">
        <v>86</v>
      </c>
      <c r="B10" s="169" t="s">
        <v>87</v>
      </c>
      <c r="C10" s="22" t="s">
        <v>88</v>
      </c>
      <c r="D10" s="3" t="s">
        <v>5</v>
      </c>
      <c r="E10" s="63">
        <v>1.5</v>
      </c>
      <c r="F10" s="93">
        <v>260.45999999999998</v>
      </c>
      <c r="G10" s="130">
        <f>F10*$H$5+F10</f>
        <v>313.85429999999997</v>
      </c>
      <c r="H10" s="94">
        <f>E10*G10</f>
        <v>470.78144999999995</v>
      </c>
    </row>
    <row r="11" spans="1:21" s="45" customFormat="1" ht="13.5" thickBot="1" x14ac:dyDescent="0.25">
      <c r="A11" s="15"/>
      <c r="B11" s="9"/>
      <c r="C11" s="22"/>
      <c r="D11" s="3"/>
      <c r="E11" s="101"/>
      <c r="F11" s="103" t="s">
        <v>47</v>
      </c>
      <c r="G11" s="99">
        <f>SUM(G10:G10)</f>
        <v>313.85429999999997</v>
      </c>
      <c r="H11" s="100">
        <f>SUM(H10:H10)</f>
        <v>470.78144999999995</v>
      </c>
    </row>
    <row r="12" spans="1:21" s="45" customFormat="1" x14ac:dyDescent="0.2">
      <c r="A12" s="15"/>
      <c r="B12" s="9"/>
      <c r="C12" s="22"/>
      <c r="D12" s="3"/>
      <c r="E12" s="23"/>
      <c r="F12" s="102"/>
      <c r="G12" s="105"/>
      <c r="H12" s="106"/>
    </row>
    <row r="13" spans="1:21" s="45" customFormat="1" x14ac:dyDescent="0.2">
      <c r="A13" s="27" t="s">
        <v>1</v>
      </c>
      <c r="B13" s="44"/>
      <c r="C13" s="28" t="s">
        <v>34</v>
      </c>
      <c r="D13" s="35"/>
      <c r="E13" s="71"/>
      <c r="F13" s="71"/>
      <c r="G13" s="71"/>
      <c r="H13" s="71"/>
    </row>
    <row r="14" spans="1:21" s="45" customFormat="1" ht="38.25" x14ac:dyDescent="0.2">
      <c r="A14" s="15" t="s">
        <v>94</v>
      </c>
      <c r="B14" s="169" t="s">
        <v>190</v>
      </c>
      <c r="C14" s="156" t="s">
        <v>120</v>
      </c>
      <c r="D14" s="3" t="s">
        <v>5</v>
      </c>
      <c r="E14" s="63">
        <v>71.739999999999995</v>
      </c>
      <c r="F14" s="93">
        <f>2.9+6.25</f>
        <v>9.15</v>
      </c>
      <c r="G14" s="130">
        <f>F14*$H$5+F14</f>
        <v>11.02575</v>
      </c>
      <c r="H14" s="94">
        <f>E14*G14</f>
        <v>790.98730499999999</v>
      </c>
    </row>
    <row r="15" spans="1:21" s="45" customFormat="1" x14ac:dyDescent="0.2">
      <c r="A15" s="15" t="s">
        <v>95</v>
      </c>
      <c r="B15" s="9">
        <v>97643</v>
      </c>
      <c r="C15" s="156" t="s">
        <v>124</v>
      </c>
      <c r="D15" s="158" t="s">
        <v>5</v>
      </c>
      <c r="E15" s="63">
        <v>13.25</v>
      </c>
      <c r="F15" s="93">
        <v>21.34</v>
      </c>
      <c r="G15" s="130">
        <f t="shared" ref="G15:G23" si="0">F15*$H$5+F15</f>
        <v>25.714700000000001</v>
      </c>
      <c r="H15" s="94">
        <f t="shared" ref="H15:H23" si="1">E15*G15</f>
        <v>340.71977500000003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</row>
    <row r="16" spans="1:21" s="45" customFormat="1" x14ac:dyDescent="0.2">
      <c r="A16" s="15"/>
      <c r="B16" s="9"/>
      <c r="C16" s="156" t="s">
        <v>188</v>
      </c>
      <c r="D16" s="158" t="s">
        <v>82</v>
      </c>
      <c r="E16" s="63">
        <v>4</v>
      </c>
      <c r="F16" s="93">
        <v>68</v>
      </c>
      <c r="G16" s="130">
        <f t="shared" ref="G16:G19" si="2">F16*$H$5+F16</f>
        <v>81.94</v>
      </c>
      <c r="H16" s="94">
        <f t="shared" ref="H16:H19" si="3">E16*G16</f>
        <v>327.76</v>
      </c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</row>
    <row r="17" spans="1:21" s="45" customFormat="1" x14ac:dyDescent="0.2">
      <c r="A17" s="15"/>
      <c r="B17" s="9"/>
      <c r="C17" s="156" t="s">
        <v>189</v>
      </c>
      <c r="D17" s="158" t="s">
        <v>82</v>
      </c>
      <c r="E17" s="63">
        <v>6</v>
      </c>
      <c r="F17" s="93">
        <v>73</v>
      </c>
      <c r="G17" s="130">
        <f t="shared" si="2"/>
        <v>87.965000000000003</v>
      </c>
      <c r="H17" s="94">
        <f t="shared" si="3"/>
        <v>527.79</v>
      </c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</row>
    <row r="18" spans="1:21" s="45" customFormat="1" x14ac:dyDescent="0.2">
      <c r="A18" s="15"/>
      <c r="B18" s="9"/>
      <c r="C18" s="156"/>
      <c r="D18" s="158"/>
      <c r="E18" s="63"/>
      <c r="F18" s="93"/>
      <c r="G18" s="130">
        <f t="shared" si="2"/>
        <v>0</v>
      </c>
      <c r="H18" s="94">
        <f t="shared" si="3"/>
        <v>0</v>
      </c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</row>
    <row r="19" spans="1:21" s="45" customFormat="1" x14ac:dyDescent="0.2">
      <c r="A19" s="15"/>
      <c r="B19" s="9"/>
      <c r="C19" s="156"/>
      <c r="D19" s="158"/>
      <c r="E19" s="63"/>
      <c r="F19" s="93"/>
      <c r="G19" s="130">
        <f t="shared" si="2"/>
        <v>0</v>
      </c>
      <c r="H19" s="94">
        <f t="shared" si="3"/>
        <v>0</v>
      </c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</row>
    <row r="20" spans="1:21" s="45" customFormat="1" ht="38.25" x14ac:dyDescent="0.2">
      <c r="A20" s="15"/>
      <c r="B20" s="9">
        <v>97633</v>
      </c>
      <c r="C20" s="156" t="s">
        <v>184</v>
      </c>
      <c r="D20" s="158" t="s">
        <v>5</v>
      </c>
      <c r="E20" s="63">
        <f>12.94+23.54+4.2+(6.05*3)</f>
        <v>58.83</v>
      </c>
      <c r="F20" s="93">
        <v>16.100000000000001</v>
      </c>
      <c r="G20" s="130">
        <f t="shared" ref="G20" si="4">F20*$H$5+F20</f>
        <v>19.400500000000001</v>
      </c>
      <c r="H20" s="94">
        <f t="shared" ref="H20" si="5">E20*G20</f>
        <v>1141.3314150000001</v>
      </c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</row>
    <row r="21" spans="1:21" s="45" customFormat="1" x14ac:dyDescent="0.2">
      <c r="A21" s="15"/>
      <c r="B21" s="9">
        <v>97637</v>
      </c>
      <c r="C21" s="156" t="s">
        <v>183</v>
      </c>
      <c r="D21" s="158" t="s">
        <v>5</v>
      </c>
      <c r="E21" s="63">
        <f>(3.7+3.36)*2.7</f>
        <v>19.062000000000001</v>
      </c>
      <c r="F21" s="93">
        <v>2.13</v>
      </c>
      <c r="G21" s="130">
        <f t="shared" ref="G21" si="6">F21*$H$5+F21</f>
        <v>2.5666499999999997</v>
      </c>
      <c r="H21" s="94">
        <f t="shared" ref="H21" si="7">E21*G21</f>
        <v>48.925482299999999</v>
      </c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</row>
    <row r="22" spans="1:21" s="45" customFormat="1" x14ac:dyDescent="0.2">
      <c r="A22" s="15"/>
      <c r="B22" s="9">
        <v>97635</v>
      </c>
      <c r="C22" s="156" t="s">
        <v>185</v>
      </c>
      <c r="D22" s="158" t="s">
        <v>5</v>
      </c>
      <c r="E22" s="63">
        <v>26</v>
      </c>
      <c r="F22" s="93">
        <v>13.34</v>
      </c>
      <c r="G22" s="130">
        <f t="shared" ref="G22" si="8">F22*$H$5+F22</f>
        <v>16.0747</v>
      </c>
      <c r="H22" s="94">
        <f t="shared" ref="H22" si="9">E22*G22</f>
        <v>417.94220000000001</v>
      </c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</row>
    <row r="23" spans="1:21" ht="26.25" thickBot="1" x14ac:dyDescent="0.25">
      <c r="A23" s="15" t="s">
        <v>50</v>
      </c>
      <c r="B23" s="9">
        <v>97622</v>
      </c>
      <c r="C23" s="52" t="s">
        <v>49</v>
      </c>
      <c r="D23" s="53" t="s">
        <v>7</v>
      </c>
      <c r="E23" s="63">
        <f>((3.4+3.7+3.7)*3+6)*0.12</f>
        <v>4.6080000000000005</v>
      </c>
      <c r="F23" s="271">
        <v>43.83</v>
      </c>
      <c r="G23" s="130">
        <f t="shared" si="0"/>
        <v>52.815149999999996</v>
      </c>
      <c r="H23" s="94">
        <f t="shared" si="1"/>
        <v>243.37221120000001</v>
      </c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</row>
    <row r="24" spans="1:21" s="46" customFormat="1" ht="13.5" thickBot="1" x14ac:dyDescent="0.25">
      <c r="A24" s="15"/>
      <c r="B24" s="9"/>
      <c r="C24" s="2"/>
      <c r="D24" s="3"/>
      <c r="E24" s="101"/>
      <c r="F24" s="103" t="s">
        <v>47</v>
      </c>
      <c r="G24" s="99">
        <f>SUM(G23:G23)</f>
        <v>52.815149999999996</v>
      </c>
      <c r="H24" s="100">
        <f>SUM(H14:H23)</f>
        <v>3838.8283885000001</v>
      </c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</row>
    <row r="25" spans="1:21" s="46" customFormat="1" x14ac:dyDescent="0.2">
      <c r="A25" s="15"/>
      <c r="B25" s="9"/>
      <c r="C25" s="2"/>
      <c r="D25" s="3"/>
      <c r="E25" s="23"/>
      <c r="F25" s="102"/>
      <c r="G25" s="105"/>
      <c r="H25" s="106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</row>
    <row r="26" spans="1:21" s="46" customFormat="1" x14ac:dyDescent="0.2">
      <c r="A26" s="27" t="s">
        <v>221</v>
      </c>
      <c r="B26" s="44"/>
      <c r="C26" s="225" t="s">
        <v>8</v>
      </c>
      <c r="D26" s="226"/>
      <c r="E26" s="226"/>
      <c r="F26" s="71"/>
      <c r="G26" s="71"/>
      <c r="H26" s="71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</row>
    <row r="27" spans="1:21" s="46" customFormat="1" x14ac:dyDescent="0.2">
      <c r="A27" s="27" t="s">
        <v>222</v>
      </c>
      <c r="B27" s="44"/>
      <c r="C27" s="197" t="s">
        <v>96</v>
      </c>
      <c r="D27" s="198"/>
      <c r="E27" s="198"/>
      <c r="F27" s="71"/>
      <c r="G27" s="157"/>
      <c r="H27" s="71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</row>
    <row r="28" spans="1:21" s="46" customFormat="1" ht="25.5" x14ac:dyDescent="0.2">
      <c r="A28" s="154" t="s">
        <v>223</v>
      </c>
      <c r="B28" s="54">
        <v>96527</v>
      </c>
      <c r="C28" s="55" t="s">
        <v>55</v>
      </c>
      <c r="D28" s="56" t="s">
        <v>7</v>
      </c>
      <c r="E28" s="63">
        <f>5*(0.7*0.7*0.5)</f>
        <v>1.2249999999999999</v>
      </c>
      <c r="F28" s="51">
        <v>101.03</v>
      </c>
      <c r="G28" s="130">
        <f t="shared" ref="G28:G32" si="10">F28*$H$5+F28</f>
        <v>121.74115</v>
      </c>
      <c r="H28" s="94">
        <f t="shared" ref="H28:H32" si="11">E28*G28</f>
        <v>149.13290874999998</v>
      </c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</row>
    <row r="29" spans="1:21" ht="25.5" x14ac:dyDescent="0.2">
      <c r="A29" s="154" t="s">
        <v>224</v>
      </c>
      <c r="B29" s="16">
        <v>92270</v>
      </c>
      <c r="C29" s="57" t="s">
        <v>56</v>
      </c>
      <c r="D29" s="56" t="s">
        <v>5</v>
      </c>
      <c r="E29" s="63">
        <f>(7*(0.7*0.4))+((10.25+10.73)*0.3*2)</f>
        <v>14.547999999999998</v>
      </c>
      <c r="F29" s="51">
        <v>35.799999999999997</v>
      </c>
      <c r="G29" s="130">
        <f t="shared" si="10"/>
        <v>43.138999999999996</v>
      </c>
      <c r="H29" s="94">
        <f t="shared" si="11"/>
        <v>627.58617199999992</v>
      </c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</row>
    <row r="30" spans="1:21" ht="25.5" x14ac:dyDescent="0.2">
      <c r="A30" s="154" t="s">
        <v>225</v>
      </c>
      <c r="B30" s="16"/>
      <c r="C30" s="160" t="s">
        <v>106</v>
      </c>
      <c r="D30" s="60" t="s">
        <v>54</v>
      </c>
      <c r="E30" s="63">
        <f>5*(0.7*0.7*0.4)</f>
        <v>0.97999999999999987</v>
      </c>
      <c r="F30" s="51">
        <v>210</v>
      </c>
      <c r="G30" s="130">
        <f t="shared" si="10"/>
        <v>253.05</v>
      </c>
      <c r="H30" s="94">
        <f t="shared" si="11"/>
        <v>247.98899999999998</v>
      </c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</row>
    <row r="31" spans="1:21" ht="25.5" x14ac:dyDescent="0.2">
      <c r="A31" s="154" t="s">
        <v>226</v>
      </c>
      <c r="B31" s="159" t="s">
        <v>60</v>
      </c>
      <c r="C31" s="160" t="s">
        <v>105</v>
      </c>
      <c r="D31" s="60" t="s">
        <v>54</v>
      </c>
      <c r="E31" s="63">
        <f>E32-E30</f>
        <v>0.75528000000000006</v>
      </c>
      <c r="F31" s="51">
        <v>567.71</v>
      </c>
      <c r="G31" s="130">
        <f t="shared" si="10"/>
        <v>684.09055000000001</v>
      </c>
      <c r="H31" s="94">
        <f t="shared" si="11"/>
        <v>516.67991060400004</v>
      </c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</row>
    <row r="32" spans="1:21" ht="38.25" x14ac:dyDescent="0.2">
      <c r="A32" s="154" t="s">
        <v>227</v>
      </c>
      <c r="B32" s="58">
        <v>94964</v>
      </c>
      <c r="C32" s="59" t="s">
        <v>103</v>
      </c>
      <c r="D32" s="60" t="s">
        <v>7</v>
      </c>
      <c r="E32" s="63">
        <f>5*(0.7*0.7*0.4)+((10.25+10.73)*0.12*0.3)</f>
        <v>1.7352799999999999</v>
      </c>
      <c r="F32" s="51">
        <v>314.61</v>
      </c>
      <c r="G32" s="130">
        <f t="shared" si="10"/>
        <v>379.10505000000001</v>
      </c>
      <c r="H32" s="94">
        <f t="shared" si="11"/>
        <v>657.85341116400002</v>
      </c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</row>
    <row r="33" spans="1:21" x14ac:dyDescent="0.2">
      <c r="A33" s="27" t="s">
        <v>228</v>
      </c>
      <c r="B33" s="44"/>
      <c r="C33" s="197" t="s">
        <v>97</v>
      </c>
      <c r="D33" s="198"/>
      <c r="E33" s="198"/>
      <c r="F33" s="71"/>
      <c r="G33" s="157"/>
      <c r="H33" s="71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</row>
    <row r="34" spans="1:21" ht="25.5" x14ac:dyDescent="0.2">
      <c r="A34" s="154" t="s">
        <v>229</v>
      </c>
      <c r="B34" s="16">
        <v>92270</v>
      </c>
      <c r="C34" s="57" t="s">
        <v>57</v>
      </c>
      <c r="D34" s="56" t="s">
        <v>5</v>
      </c>
      <c r="E34" s="63">
        <f>7*(3*(2*0.25+2*0.12))</f>
        <v>15.54</v>
      </c>
      <c r="F34" s="51">
        <v>35.799999999999997</v>
      </c>
      <c r="G34" s="130">
        <f t="shared" ref="G34:G36" si="12">F34*$H$5+F34</f>
        <v>43.138999999999996</v>
      </c>
      <c r="H34" s="94">
        <f t="shared" ref="H34:H36" si="13">E34*G34</f>
        <v>670.38005999999984</v>
      </c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</row>
    <row r="35" spans="1:21" x14ac:dyDescent="0.2">
      <c r="A35" s="154" t="s">
        <v>230</v>
      </c>
      <c r="B35" s="16" t="s">
        <v>60</v>
      </c>
      <c r="C35" s="57" t="s">
        <v>59</v>
      </c>
      <c r="D35" s="56" t="s">
        <v>54</v>
      </c>
      <c r="E35" s="131">
        <f>E36</f>
        <v>0.36</v>
      </c>
      <c r="F35" s="51">
        <v>567.71</v>
      </c>
      <c r="G35" s="130">
        <f t="shared" si="12"/>
        <v>684.09055000000001</v>
      </c>
      <c r="H35" s="94">
        <f t="shared" si="13"/>
        <v>246.27259799999999</v>
      </c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</row>
    <row r="36" spans="1:21" ht="38.25" x14ac:dyDescent="0.2">
      <c r="A36" s="154" t="s">
        <v>231</v>
      </c>
      <c r="B36" s="19">
        <v>94964</v>
      </c>
      <c r="C36" s="57" t="s">
        <v>103</v>
      </c>
      <c r="D36" s="61" t="s">
        <v>7</v>
      </c>
      <c r="E36" s="131">
        <f>4*(3*0.25*0.12)</f>
        <v>0.36</v>
      </c>
      <c r="F36" s="51">
        <v>314.61</v>
      </c>
      <c r="G36" s="130">
        <f t="shared" si="12"/>
        <v>379.10505000000001</v>
      </c>
      <c r="H36" s="94">
        <f t="shared" si="13"/>
        <v>136.47781799999998</v>
      </c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</row>
    <row r="37" spans="1:21" ht="25.5" x14ac:dyDescent="0.2">
      <c r="A37" s="154" t="s">
        <v>232</v>
      </c>
      <c r="B37" s="19"/>
      <c r="C37" s="207" t="s">
        <v>210</v>
      </c>
      <c r="D37" s="208" t="s">
        <v>6</v>
      </c>
      <c r="E37" s="131">
        <f>3*3</f>
        <v>9</v>
      </c>
      <c r="F37" s="51">
        <v>140</v>
      </c>
      <c r="G37" s="130">
        <f t="shared" ref="G37" si="14">F37*$H$5+F37</f>
        <v>168.7</v>
      </c>
      <c r="H37" s="94">
        <f t="shared" ref="H37" si="15">E37*G37</f>
        <v>1518.3</v>
      </c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</row>
    <row r="38" spans="1:21" x14ac:dyDescent="0.2">
      <c r="A38" s="27" t="s">
        <v>233</v>
      </c>
      <c r="B38" s="44"/>
      <c r="C38" s="197" t="s">
        <v>98</v>
      </c>
      <c r="D38" s="198"/>
      <c r="E38" s="198"/>
      <c r="F38" s="71"/>
      <c r="G38" s="157"/>
      <c r="H38" s="71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</row>
    <row r="39" spans="1:21" ht="25.5" x14ac:dyDescent="0.2">
      <c r="A39" s="154" t="s">
        <v>234</v>
      </c>
      <c r="B39" s="16">
        <v>92270</v>
      </c>
      <c r="C39" s="57" t="s">
        <v>58</v>
      </c>
      <c r="D39" s="56" t="s">
        <v>5</v>
      </c>
      <c r="E39" s="63">
        <f>2*(10.24*0.3)</f>
        <v>6.1440000000000001</v>
      </c>
      <c r="F39" s="51">
        <v>35.799999999999997</v>
      </c>
      <c r="G39" s="130">
        <f t="shared" ref="G39:G41" si="16">F39*$H$5+F39</f>
        <v>43.138999999999996</v>
      </c>
      <c r="H39" s="94">
        <f t="shared" ref="H39:H41" si="17">E39*G39</f>
        <v>265.04601599999995</v>
      </c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</row>
    <row r="40" spans="1:21" x14ac:dyDescent="0.2">
      <c r="A40" s="154" t="s">
        <v>235</v>
      </c>
      <c r="B40" s="16" t="s">
        <v>60</v>
      </c>
      <c r="C40" s="57" t="s">
        <v>59</v>
      </c>
      <c r="D40" s="56" t="s">
        <v>54</v>
      </c>
      <c r="E40" s="131">
        <f>E41</f>
        <v>0.36863999999999997</v>
      </c>
      <c r="F40" s="51">
        <v>567.71</v>
      </c>
      <c r="G40" s="130">
        <f t="shared" si="16"/>
        <v>684.09055000000001</v>
      </c>
      <c r="H40" s="94">
        <f t="shared" si="17"/>
        <v>252.18314035199998</v>
      </c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</row>
    <row r="41" spans="1:21" ht="38.25" x14ac:dyDescent="0.2">
      <c r="A41" s="154" t="s">
        <v>236</v>
      </c>
      <c r="B41" s="19">
        <v>94964</v>
      </c>
      <c r="C41" s="57" t="s">
        <v>103</v>
      </c>
      <c r="D41" s="61" t="s">
        <v>7</v>
      </c>
      <c r="E41" s="63">
        <f>10.24*0.3*0.12</f>
        <v>0.36863999999999997</v>
      </c>
      <c r="F41" s="51">
        <v>314.61</v>
      </c>
      <c r="G41" s="130">
        <f t="shared" si="16"/>
        <v>379.10505000000001</v>
      </c>
      <c r="H41" s="94">
        <f t="shared" si="17"/>
        <v>139.753285632</v>
      </c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</row>
    <row r="42" spans="1:21" ht="51.75" thickBot="1" x14ac:dyDescent="0.25">
      <c r="A42" s="154" t="s">
        <v>237</v>
      </c>
      <c r="B42" s="19"/>
      <c r="C42" s="207" t="s">
        <v>211</v>
      </c>
      <c r="D42" s="208" t="s">
        <v>6</v>
      </c>
      <c r="E42" s="63">
        <v>12.4</v>
      </c>
      <c r="F42" s="199">
        <v>130</v>
      </c>
      <c r="G42" s="130">
        <f t="shared" ref="G42" si="18">F42*$H$5+F42</f>
        <v>156.65</v>
      </c>
      <c r="H42" s="94">
        <f t="shared" ref="H42" si="19">E42*G42</f>
        <v>1942.46</v>
      </c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</row>
    <row r="43" spans="1:21" ht="13.5" thickBot="1" x14ac:dyDescent="0.25">
      <c r="A43" s="15"/>
      <c r="B43" s="19"/>
      <c r="C43" s="18"/>
      <c r="D43" s="19"/>
      <c r="E43" s="101"/>
      <c r="F43" s="119" t="s">
        <v>47</v>
      </c>
      <c r="G43" s="116">
        <f>SUM(G28:G41)</f>
        <v>3862.4949500000002</v>
      </c>
      <c r="H43" s="117">
        <f>SUM(H28:H42)</f>
        <v>7370.1143205020007</v>
      </c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</row>
    <row r="44" spans="1:21" x14ac:dyDescent="0.2">
      <c r="A44" s="138"/>
      <c r="B44" s="61"/>
      <c r="C44" s="57"/>
      <c r="D44" s="61"/>
      <c r="E44" s="131"/>
      <c r="F44" s="199"/>
      <c r="G44" s="200"/>
      <c r="H44" s="201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</row>
    <row r="45" spans="1:21" s="45" customFormat="1" x14ac:dyDescent="0.2">
      <c r="A45" s="27" t="s">
        <v>2</v>
      </c>
      <c r="B45" s="30"/>
      <c r="C45" s="31" t="s">
        <v>9</v>
      </c>
      <c r="D45" s="31"/>
      <c r="E45" s="43"/>
      <c r="F45" s="43"/>
      <c r="G45" s="43"/>
      <c r="H45" s="43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</row>
    <row r="46" spans="1:21" s="45" customFormat="1" ht="38.25" x14ac:dyDescent="0.2">
      <c r="A46" s="155" t="s">
        <v>125</v>
      </c>
      <c r="B46" s="87">
        <v>94195</v>
      </c>
      <c r="C46" s="156" t="s">
        <v>119</v>
      </c>
      <c r="D46" s="158" t="s">
        <v>5</v>
      </c>
      <c r="E46" s="61">
        <v>112.52</v>
      </c>
      <c r="F46" s="187">
        <v>45.93</v>
      </c>
      <c r="G46" s="130">
        <f t="shared" ref="G46" si="20">F46*$H$5+F46</f>
        <v>55.345649999999999</v>
      </c>
      <c r="H46" s="94">
        <f t="shared" ref="H46" si="21">E46*G46</f>
        <v>6227.4925379999995</v>
      </c>
    </row>
    <row r="47" spans="1:21" s="45" customFormat="1" ht="25.5" x14ac:dyDescent="0.2">
      <c r="A47" s="155" t="s">
        <v>126</v>
      </c>
      <c r="B47" s="87"/>
      <c r="C47" s="156" t="s">
        <v>216</v>
      </c>
      <c r="D47" s="158" t="s">
        <v>5</v>
      </c>
      <c r="E47" s="61">
        <f>E46</f>
        <v>112.52</v>
      </c>
      <c r="F47" s="187">
        <v>5.21</v>
      </c>
      <c r="G47" s="130">
        <f t="shared" ref="G47" si="22">F47*$H$5+F47</f>
        <v>6.2780500000000004</v>
      </c>
      <c r="H47" s="94">
        <f t="shared" ref="H47" si="23">E47*G47</f>
        <v>706.40618600000005</v>
      </c>
    </row>
    <row r="48" spans="1:21" s="45" customFormat="1" ht="63.75" x14ac:dyDescent="0.2">
      <c r="A48" s="155" t="s">
        <v>238</v>
      </c>
      <c r="B48" s="87">
        <v>92539</v>
      </c>
      <c r="C48" s="156" t="s">
        <v>213</v>
      </c>
      <c r="D48" s="158" t="s">
        <v>5</v>
      </c>
      <c r="E48" s="61">
        <f>E46</f>
        <v>112.52</v>
      </c>
      <c r="F48" s="187">
        <v>70.75</v>
      </c>
      <c r="G48" s="130">
        <f t="shared" ref="G48" si="24">F48*$H$5+F48</f>
        <v>85.253749999999997</v>
      </c>
      <c r="H48" s="94">
        <f t="shared" ref="H48" si="25">E48*G48</f>
        <v>9592.7519499999999</v>
      </c>
    </row>
    <row r="49" spans="1:8" s="45" customFormat="1" ht="51" x14ac:dyDescent="0.2">
      <c r="A49" s="155" t="s">
        <v>127</v>
      </c>
      <c r="B49" s="87">
        <v>92545</v>
      </c>
      <c r="C49" s="156" t="s">
        <v>214</v>
      </c>
      <c r="D49" s="158" t="s">
        <v>82</v>
      </c>
      <c r="E49" s="61">
        <v>3</v>
      </c>
      <c r="F49" s="187">
        <v>779.42</v>
      </c>
      <c r="G49" s="130">
        <f t="shared" ref="G49:G50" si="26">F49*$H$5+F49</f>
        <v>939.2011</v>
      </c>
      <c r="H49" s="94">
        <f t="shared" ref="H49:H50" si="27">E49*G49</f>
        <v>2817.6032999999998</v>
      </c>
    </row>
    <row r="50" spans="1:8" s="45" customFormat="1" ht="25.5" x14ac:dyDescent="0.2">
      <c r="A50" s="155" t="s">
        <v>128</v>
      </c>
      <c r="B50" s="87">
        <v>55960</v>
      </c>
      <c r="C50" s="156" t="s">
        <v>212</v>
      </c>
      <c r="D50" s="158"/>
      <c r="E50" s="61">
        <f>E46</f>
        <v>112.52</v>
      </c>
      <c r="F50" s="187">
        <v>4.8</v>
      </c>
      <c r="G50" s="130">
        <f t="shared" si="26"/>
        <v>5.7839999999999998</v>
      </c>
      <c r="H50" s="94">
        <f t="shared" si="27"/>
        <v>650.81567999999993</v>
      </c>
    </row>
    <row r="51" spans="1:8" s="45" customFormat="1" ht="38.25" x14ac:dyDescent="0.2">
      <c r="A51" s="155" t="s">
        <v>129</v>
      </c>
      <c r="B51" s="174">
        <v>94231</v>
      </c>
      <c r="C51" s="52" t="s">
        <v>100</v>
      </c>
      <c r="D51" s="158" t="s">
        <v>6</v>
      </c>
      <c r="E51" s="61">
        <f>21.57+7.52</f>
        <v>29.09</v>
      </c>
      <c r="F51" s="188">
        <v>32.79</v>
      </c>
      <c r="G51" s="130">
        <f t="shared" ref="G51:G54" si="28">F51*$H$5+F51</f>
        <v>39.511949999999999</v>
      </c>
      <c r="H51" s="94">
        <f t="shared" ref="H51:H54" si="29">E51*G51</f>
        <v>1149.4026254999999</v>
      </c>
    </row>
    <row r="52" spans="1:8" s="45" customFormat="1" ht="25.5" x14ac:dyDescent="0.2">
      <c r="A52" s="155" t="s">
        <v>130</v>
      </c>
      <c r="B52" s="87">
        <v>94227</v>
      </c>
      <c r="C52" s="52" t="s">
        <v>81</v>
      </c>
      <c r="D52" s="53" t="s">
        <v>6</v>
      </c>
      <c r="E52" s="61">
        <v>16.309999999999999</v>
      </c>
      <c r="F52" s="188">
        <v>40.53</v>
      </c>
      <c r="G52" s="130">
        <f t="shared" si="28"/>
        <v>48.838650000000001</v>
      </c>
      <c r="H52" s="94">
        <f t="shared" si="29"/>
        <v>796.5583815</v>
      </c>
    </row>
    <row r="53" spans="1:8" s="45" customFormat="1" ht="38.25" x14ac:dyDescent="0.2">
      <c r="A53" s="155" t="s">
        <v>131</v>
      </c>
      <c r="B53" s="87">
        <v>84045</v>
      </c>
      <c r="C53" s="156" t="s">
        <v>102</v>
      </c>
      <c r="D53" s="53" t="s">
        <v>6</v>
      </c>
      <c r="E53" s="61">
        <f>2*3</f>
        <v>6</v>
      </c>
      <c r="F53" s="188">
        <v>35.5</v>
      </c>
      <c r="G53" s="130">
        <f t="shared" si="28"/>
        <v>42.777500000000003</v>
      </c>
      <c r="H53" s="94">
        <f t="shared" si="29"/>
        <v>256.66500000000002</v>
      </c>
    </row>
    <row r="54" spans="1:8" ht="38.25" x14ac:dyDescent="0.2">
      <c r="A54" s="155" t="s">
        <v>239</v>
      </c>
      <c r="B54" s="87">
        <v>96111</v>
      </c>
      <c r="C54" s="156" t="s">
        <v>101</v>
      </c>
      <c r="D54" s="53" t="s">
        <v>5</v>
      </c>
      <c r="E54" s="61">
        <f>17.35+15.92+27.66+8.95+9.73+17.48</f>
        <v>97.090000000000018</v>
      </c>
      <c r="F54" s="187">
        <v>41.49</v>
      </c>
      <c r="G54" s="130">
        <f t="shared" si="28"/>
        <v>49.995450000000005</v>
      </c>
      <c r="H54" s="94">
        <f t="shared" si="29"/>
        <v>4854.0582405000014</v>
      </c>
    </row>
    <row r="55" spans="1:8" ht="26.25" thickBot="1" x14ac:dyDescent="0.25">
      <c r="A55" s="155" t="s">
        <v>240</v>
      </c>
      <c r="B55" s="87"/>
      <c r="C55" s="156" t="s">
        <v>209</v>
      </c>
      <c r="D55" s="158" t="s">
        <v>5</v>
      </c>
      <c r="E55" s="272">
        <v>38.159999999999997</v>
      </c>
      <c r="F55" s="187">
        <v>63</v>
      </c>
      <c r="G55" s="130">
        <f t="shared" ref="G55" si="30">F55*$H$5+F55</f>
        <v>75.914999999999992</v>
      </c>
      <c r="H55" s="94">
        <f t="shared" ref="H55" si="31">E55*G55</f>
        <v>2896.9163999999996</v>
      </c>
    </row>
    <row r="56" spans="1:8" s="45" customFormat="1" ht="13.5" thickBot="1" x14ac:dyDescent="0.25">
      <c r="A56" s="16"/>
      <c r="B56" s="16"/>
      <c r="C56" s="2"/>
      <c r="D56" s="3"/>
      <c r="E56" s="104"/>
      <c r="F56" s="98" t="s">
        <v>47</v>
      </c>
      <c r="G56" s="99">
        <f>SUM(G46:G55)</f>
        <v>1348.9011</v>
      </c>
      <c r="H56" s="100">
        <f>SUM(H46:H55)</f>
        <v>29948.670301499998</v>
      </c>
    </row>
    <row r="57" spans="1:8" s="45" customFormat="1" x14ac:dyDescent="0.2">
      <c r="A57" s="16"/>
      <c r="B57" s="16"/>
      <c r="C57" s="2"/>
      <c r="D57" s="3"/>
      <c r="E57" s="19"/>
      <c r="F57" s="118"/>
      <c r="G57" s="105"/>
      <c r="H57" s="106"/>
    </row>
    <row r="58" spans="1:8" s="45" customFormat="1" x14ac:dyDescent="0.2">
      <c r="A58" s="27" t="s">
        <v>29</v>
      </c>
      <c r="B58" s="44"/>
      <c r="C58" s="31" t="s">
        <v>10</v>
      </c>
      <c r="D58" s="31"/>
      <c r="E58" s="43"/>
      <c r="F58" s="43"/>
      <c r="G58" s="43"/>
      <c r="H58" s="43"/>
    </row>
    <row r="59" spans="1:8" s="45" customFormat="1" ht="63.75" x14ac:dyDescent="0.2">
      <c r="A59" s="155" t="s">
        <v>30</v>
      </c>
      <c r="B59" s="53">
        <v>87477</v>
      </c>
      <c r="C59" s="62" t="s">
        <v>80</v>
      </c>
      <c r="D59" s="53" t="s">
        <v>5</v>
      </c>
      <c r="E59" s="63">
        <f>10.25*3</f>
        <v>30.75</v>
      </c>
      <c r="F59" s="51">
        <v>36.72</v>
      </c>
      <c r="G59" s="130">
        <f t="shared" ref="G59:G64" si="32">F59*$H$5+F59</f>
        <v>44.247599999999998</v>
      </c>
      <c r="H59" s="94">
        <f t="shared" ref="H59" si="33">E59*G59</f>
        <v>1360.6136999999999</v>
      </c>
    </row>
    <row r="60" spans="1:8" s="45" customFormat="1" ht="51" x14ac:dyDescent="0.2">
      <c r="A60" s="155" t="s">
        <v>31</v>
      </c>
      <c r="B60" s="158">
        <v>96358</v>
      </c>
      <c r="C60" s="156" t="s">
        <v>186</v>
      </c>
      <c r="D60" s="158" t="s">
        <v>5</v>
      </c>
      <c r="E60" s="63">
        <f>3*3.7*2.7</f>
        <v>29.970000000000006</v>
      </c>
      <c r="F60" s="130">
        <v>83.93</v>
      </c>
      <c r="G60" s="130">
        <f t="shared" ref="G60" si="34">F60*$H$5+F60</f>
        <v>101.13565000000001</v>
      </c>
      <c r="H60" s="94">
        <f t="shared" ref="H60" si="35">E60*G60</f>
        <v>3031.035430500001</v>
      </c>
    </row>
    <row r="61" spans="1:8" s="45" customFormat="1" ht="51" x14ac:dyDescent="0.2">
      <c r="A61" s="155" t="s">
        <v>152</v>
      </c>
      <c r="B61" s="158">
        <v>96372</v>
      </c>
      <c r="C61" s="156" t="s">
        <v>187</v>
      </c>
      <c r="D61" s="158" t="s">
        <v>5</v>
      </c>
      <c r="E61" s="63">
        <f>3.7*2.7</f>
        <v>9.990000000000002</v>
      </c>
      <c r="F61" s="130">
        <v>19.66</v>
      </c>
      <c r="G61" s="130">
        <f t="shared" ref="G61" si="36">F61*$H$5+F61</f>
        <v>23.690300000000001</v>
      </c>
      <c r="H61" s="94">
        <f t="shared" ref="H61" si="37">E61*G61</f>
        <v>236.66609700000006</v>
      </c>
    </row>
    <row r="62" spans="1:8" s="45" customFormat="1" ht="25.5" x14ac:dyDescent="0.2">
      <c r="A62" s="155" t="s">
        <v>241</v>
      </c>
      <c r="B62" s="158"/>
      <c r="C62" s="156" t="s">
        <v>198</v>
      </c>
      <c r="D62" s="158" t="s">
        <v>5</v>
      </c>
      <c r="E62" s="63">
        <f>(4.76+4.58+0.58)*3</f>
        <v>29.759999999999998</v>
      </c>
      <c r="F62" s="130">
        <v>85</v>
      </c>
      <c r="G62" s="130">
        <f t="shared" ref="G62" si="38">F62*$H$5+F62</f>
        <v>102.425</v>
      </c>
      <c r="H62" s="94">
        <f t="shared" ref="H62" si="39">E62*G62</f>
        <v>3048.1679999999997</v>
      </c>
    </row>
    <row r="63" spans="1:8" s="45" customFormat="1" x14ac:dyDescent="0.2">
      <c r="A63" s="155" t="s">
        <v>242</v>
      </c>
      <c r="B63" s="158"/>
      <c r="C63" s="156" t="s">
        <v>199</v>
      </c>
      <c r="D63" s="158" t="s">
        <v>82</v>
      </c>
      <c r="E63" s="63">
        <v>1</v>
      </c>
      <c r="F63" s="130">
        <v>260</v>
      </c>
      <c r="G63" s="130">
        <f t="shared" ref="G63" si="40">F63*$H$5+F63</f>
        <v>313.3</v>
      </c>
      <c r="H63" s="94">
        <f t="shared" ref="H63" si="41">E63*G63</f>
        <v>313.3</v>
      </c>
    </row>
    <row r="64" spans="1:8" ht="13.5" thickBot="1" x14ac:dyDescent="0.25">
      <c r="A64" s="155" t="s">
        <v>243</v>
      </c>
      <c r="B64" s="16">
        <v>93191</v>
      </c>
      <c r="C64" s="52" t="s">
        <v>35</v>
      </c>
      <c r="D64" s="53" t="s">
        <v>6</v>
      </c>
      <c r="E64" s="63">
        <v>11.5</v>
      </c>
      <c r="F64" s="93">
        <v>32.880000000000003</v>
      </c>
      <c r="G64" s="130">
        <f t="shared" si="32"/>
        <v>39.620400000000004</v>
      </c>
      <c r="H64" s="94">
        <f t="shared" ref="H64" si="42">E64*G64</f>
        <v>455.63460000000003</v>
      </c>
    </row>
    <row r="65" spans="1:8" s="45" customFormat="1" ht="13.5" thickBot="1" x14ac:dyDescent="0.25">
      <c r="A65" s="16"/>
      <c r="B65" s="16"/>
      <c r="C65" s="2"/>
      <c r="D65" s="3"/>
      <c r="E65" s="101"/>
      <c r="F65" s="98" t="s">
        <v>47</v>
      </c>
      <c r="G65" s="99">
        <f>SUM(G59:G64)</f>
        <v>624.41895</v>
      </c>
      <c r="H65" s="100">
        <f>SUM(H59:H64)</f>
        <v>8445.4178275000013</v>
      </c>
    </row>
    <row r="66" spans="1:8" s="45" customFormat="1" x14ac:dyDescent="0.2">
      <c r="A66" s="16"/>
      <c r="B66" s="16"/>
      <c r="C66" s="2"/>
      <c r="D66" s="3"/>
      <c r="E66" s="19"/>
      <c r="F66" s="118"/>
      <c r="G66" s="105"/>
      <c r="H66" s="106"/>
    </row>
    <row r="67" spans="1:8" s="45" customFormat="1" x14ac:dyDescent="0.2">
      <c r="A67" s="27" t="s">
        <v>32</v>
      </c>
      <c r="B67" s="49"/>
      <c r="C67" s="31" t="s">
        <v>4</v>
      </c>
      <c r="D67" s="31"/>
      <c r="E67" s="43"/>
      <c r="F67" s="43"/>
      <c r="G67" s="43"/>
      <c r="H67" s="43"/>
    </row>
    <row r="68" spans="1:8" s="45" customFormat="1" ht="25.5" x14ac:dyDescent="0.2">
      <c r="A68" s="154" t="s">
        <v>110</v>
      </c>
      <c r="B68" s="87">
        <v>87622</v>
      </c>
      <c r="C68" s="52" t="s">
        <v>79</v>
      </c>
      <c r="D68" s="53" t="s">
        <v>5</v>
      </c>
      <c r="E68" s="61">
        <f>17.35+27.66+8.95+9.73+17.48</f>
        <v>81.170000000000016</v>
      </c>
      <c r="F68" s="188">
        <v>27.38</v>
      </c>
      <c r="G68" s="130">
        <f t="shared" ref="G68:G74" si="43">F68*$H$5+F68</f>
        <v>32.992899999999999</v>
      </c>
      <c r="H68" s="94">
        <f t="shared" ref="H68" si="44">E68*G68</f>
        <v>2678.0336930000003</v>
      </c>
    </row>
    <row r="69" spans="1:8" s="45" customFormat="1" ht="63.75" x14ac:dyDescent="0.2">
      <c r="A69" s="154" t="s">
        <v>132</v>
      </c>
      <c r="B69" s="87">
        <v>94991</v>
      </c>
      <c r="C69" s="156" t="s">
        <v>203</v>
      </c>
      <c r="D69" s="158" t="s">
        <v>7</v>
      </c>
      <c r="E69" s="61">
        <f>(4.2+64.95)*0.07</f>
        <v>4.8405000000000005</v>
      </c>
      <c r="F69" s="188">
        <v>444.49</v>
      </c>
      <c r="G69" s="130">
        <f t="shared" ref="G69" si="45">F69*$H$5+F69</f>
        <v>535.61045000000001</v>
      </c>
      <c r="H69" s="94">
        <f t="shared" ref="H69" si="46">E69*G69</f>
        <v>2592.6223832250002</v>
      </c>
    </row>
    <row r="70" spans="1:8" s="45" customFormat="1" ht="25.5" x14ac:dyDescent="0.2">
      <c r="A70" s="154" t="s">
        <v>84</v>
      </c>
      <c r="B70" s="87"/>
      <c r="C70" s="156" t="s">
        <v>204</v>
      </c>
      <c r="D70" s="158" t="s">
        <v>82</v>
      </c>
      <c r="E70" s="61">
        <v>2</v>
      </c>
      <c r="F70" s="188">
        <v>344.4</v>
      </c>
      <c r="G70" s="130">
        <f t="shared" ref="G70" si="47">F70*$H$5+F70</f>
        <v>415.00199999999995</v>
      </c>
      <c r="H70" s="94">
        <f t="shared" ref="H70" si="48">E70*G70</f>
        <v>830.00399999999991</v>
      </c>
    </row>
    <row r="71" spans="1:8" s="45" customFormat="1" ht="25.5" x14ac:dyDescent="0.2">
      <c r="A71" s="154" t="s">
        <v>85</v>
      </c>
      <c r="B71" s="87">
        <v>72192</v>
      </c>
      <c r="C71" s="156" t="s">
        <v>121</v>
      </c>
      <c r="D71" s="158" t="s">
        <v>5</v>
      </c>
      <c r="E71" s="61">
        <v>15.92</v>
      </c>
      <c r="F71" s="188">
        <v>21.14</v>
      </c>
      <c r="G71" s="130">
        <f t="shared" ref="G71" si="49">F71*$H$5+F71</f>
        <v>25.473700000000001</v>
      </c>
      <c r="H71" s="94">
        <f t="shared" ref="H71" si="50">E71*G71</f>
        <v>405.54130400000003</v>
      </c>
    </row>
    <row r="72" spans="1:8" s="45" customFormat="1" ht="51" x14ac:dyDescent="0.2">
      <c r="A72" s="154" t="s">
        <v>244</v>
      </c>
      <c r="B72" s="87">
        <v>87257</v>
      </c>
      <c r="C72" s="156" t="s">
        <v>207</v>
      </c>
      <c r="D72" s="53" t="s">
        <v>5</v>
      </c>
      <c r="E72" s="61">
        <f>E68</f>
        <v>81.170000000000016</v>
      </c>
      <c r="F72" s="188">
        <v>59.45</v>
      </c>
      <c r="G72" s="130">
        <f t="shared" si="43"/>
        <v>71.637250000000009</v>
      </c>
      <c r="H72" s="94">
        <f t="shared" ref="H72:H74" si="51">E72*G72</f>
        <v>5814.7955825000017</v>
      </c>
    </row>
    <row r="73" spans="1:8" ht="51" x14ac:dyDescent="0.2">
      <c r="A73" s="154" t="s">
        <v>111</v>
      </c>
      <c r="B73" s="87">
        <v>88649</v>
      </c>
      <c r="C73" s="156" t="s">
        <v>208</v>
      </c>
      <c r="D73" s="158" t="s">
        <v>6</v>
      </c>
      <c r="E73" s="61">
        <f>16.99+17.18</f>
        <v>34.17</v>
      </c>
      <c r="F73" s="188">
        <v>5.5</v>
      </c>
      <c r="G73" s="130">
        <f t="shared" si="43"/>
        <v>6.6274999999999995</v>
      </c>
      <c r="H73" s="94">
        <f t="shared" si="51"/>
        <v>226.46167499999999</v>
      </c>
    </row>
    <row r="74" spans="1:8" ht="13.5" thickBot="1" x14ac:dyDescent="0.25">
      <c r="A74" s="154" t="s">
        <v>245</v>
      </c>
      <c r="B74" s="155" t="s">
        <v>109</v>
      </c>
      <c r="C74" s="156" t="s">
        <v>108</v>
      </c>
      <c r="D74" s="158" t="s">
        <v>6</v>
      </c>
      <c r="E74" s="61">
        <v>3.7</v>
      </c>
      <c r="F74" s="189">
        <v>13.33</v>
      </c>
      <c r="G74" s="130">
        <f t="shared" si="43"/>
        <v>16.062650000000001</v>
      </c>
      <c r="H74" s="94">
        <f t="shared" si="51"/>
        <v>59.431805000000011</v>
      </c>
    </row>
    <row r="75" spans="1:8" s="45" customFormat="1" ht="13.5" thickBot="1" x14ac:dyDescent="0.25">
      <c r="A75" s="15"/>
      <c r="B75" s="16"/>
      <c r="C75" s="2"/>
      <c r="D75" s="3"/>
      <c r="E75" s="104"/>
      <c r="F75" s="98" t="s">
        <v>47</v>
      </c>
      <c r="G75" s="99">
        <f>SUM(G68:G74)</f>
        <v>1103.4064500000002</v>
      </c>
      <c r="H75" s="100">
        <f>SUM(H68:H74)</f>
        <v>12606.890442725004</v>
      </c>
    </row>
    <row r="76" spans="1:8" s="45" customFormat="1" x14ac:dyDescent="0.2">
      <c r="A76" s="15"/>
      <c r="B76" s="3"/>
      <c r="C76" s="2"/>
      <c r="D76" s="3"/>
      <c r="E76" s="19"/>
      <c r="F76" s="118"/>
      <c r="G76" s="105"/>
      <c r="H76" s="106"/>
    </row>
    <row r="77" spans="1:8" s="45" customFormat="1" x14ac:dyDescent="0.2">
      <c r="A77" s="27" t="s">
        <v>33</v>
      </c>
      <c r="B77" s="35"/>
      <c r="C77" s="31" t="s">
        <v>63</v>
      </c>
      <c r="D77" s="31"/>
      <c r="E77" s="43"/>
      <c r="F77" s="43"/>
      <c r="G77" s="43"/>
      <c r="H77" s="43"/>
    </row>
    <row r="78" spans="1:8" s="45" customFormat="1" ht="51" x14ac:dyDescent="0.2">
      <c r="A78" s="15" t="s">
        <v>38</v>
      </c>
      <c r="B78" s="16">
        <v>87879</v>
      </c>
      <c r="C78" s="2" t="s">
        <v>61</v>
      </c>
      <c r="D78" s="3" t="s">
        <v>5</v>
      </c>
      <c r="E78" s="63">
        <f>E59*2</f>
        <v>61.5</v>
      </c>
      <c r="F78" s="51">
        <v>3.04</v>
      </c>
      <c r="G78" s="130">
        <f t="shared" ref="G78:G80" si="52">F78*$H$5+F78</f>
        <v>3.6631999999999998</v>
      </c>
      <c r="H78" s="94">
        <f t="shared" ref="H78" si="53">E78*G78</f>
        <v>225.2868</v>
      </c>
    </row>
    <row r="79" spans="1:8" s="45" customFormat="1" ht="76.5" x14ac:dyDescent="0.2">
      <c r="A79" s="15" t="s">
        <v>62</v>
      </c>
      <c r="B79" s="16">
        <v>87529</v>
      </c>
      <c r="C79" s="161" t="s">
        <v>107</v>
      </c>
      <c r="D79" s="3" t="s">
        <v>5</v>
      </c>
      <c r="E79" s="63">
        <f>E78+(6.05*3)</f>
        <v>79.650000000000006</v>
      </c>
      <c r="F79" s="51">
        <v>25.01</v>
      </c>
      <c r="G79" s="130">
        <f t="shared" si="52"/>
        <v>30.137050000000002</v>
      </c>
      <c r="H79" s="94">
        <f t="shared" ref="H79:H80" si="54">E79*G79</f>
        <v>2400.4160325000003</v>
      </c>
    </row>
    <row r="80" spans="1:8" s="45" customFormat="1" ht="77.25" thickBot="1" x14ac:dyDescent="0.25">
      <c r="A80" s="15" t="s">
        <v>133</v>
      </c>
      <c r="B80" s="87">
        <v>87265</v>
      </c>
      <c r="C80" s="161" t="s">
        <v>191</v>
      </c>
      <c r="D80" s="3" t="s">
        <v>5</v>
      </c>
      <c r="E80" s="63">
        <f>5.07*2.7</f>
        <v>13.689000000000002</v>
      </c>
      <c r="F80" s="93">
        <v>47.61</v>
      </c>
      <c r="G80" s="130">
        <f t="shared" si="52"/>
        <v>57.370049999999999</v>
      </c>
      <c r="H80" s="94">
        <f t="shared" si="54"/>
        <v>785.33861445000014</v>
      </c>
    </row>
    <row r="81" spans="1:8" s="45" customFormat="1" ht="13.5" thickBot="1" x14ac:dyDescent="0.25">
      <c r="A81" s="15"/>
      <c r="B81" s="16"/>
      <c r="C81" s="24"/>
      <c r="D81" s="3"/>
      <c r="E81" s="101"/>
      <c r="F81" s="98" t="s">
        <v>47</v>
      </c>
      <c r="G81" s="116">
        <f>SUM(G78:G80)</f>
        <v>91.170299999999997</v>
      </c>
      <c r="H81" s="117">
        <f>SUM(H78:H80)</f>
        <v>3411.0414469500001</v>
      </c>
    </row>
    <row r="82" spans="1:8" x14ac:dyDescent="0.2">
      <c r="A82" s="15"/>
      <c r="B82" s="16"/>
      <c r="C82" s="24"/>
      <c r="D82" s="3"/>
      <c r="E82" s="23"/>
      <c r="F82" s="102"/>
      <c r="G82" s="105"/>
      <c r="H82" s="106"/>
    </row>
    <row r="83" spans="1:8" x14ac:dyDescent="0.2">
      <c r="A83" s="120" t="s">
        <v>134</v>
      </c>
      <c r="B83" s="44"/>
      <c r="C83" s="31" t="s">
        <v>11</v>
      </c>
      <c r="D83" s="31"/>
      <c r="E83" s="43"/>
      <c r="F83" s="43"/>
      <c r="G83" s="43"/>
      <c r="H83" s="43"/>
    </row>
    <row r="84" spans="1:8" x14ac:dyDescent="0.2">
      <c r="A84" s="172" t="s">
        <v>135</v>
      </c>
      <c r="B84" s="5"/>
      <c r="C84" s="33" t="s">
        <v>12</v>
      </c>
      <c r="D84" s="33"/>
      <c r="E84" s="72"/>
      <c r="F84" s="72"/>
      <c r="G84" s="72"/>
      <c r="H84" s="86"/>
    </row>
    <row r="85" spans="1:8" ht="38.25" x14ac:dyDescent="0.2">
      <c r="A85" s="154" t="s">
        <v>136</v>
      </c>
      <c r="B85" s="171" t="s">
        <v>123</v>
      </c>
      <c r="C85" s="152" t="s">
        <v>194</v>
      </c>
      <c r="D85" s="158" t="s">
        <v>82</v>
      </c>
      <c r="E85" s="63">
        <v>1</v>
      </c>
      <c r="F85" s="51">
        <f>(236.34*2*2.1)+693.44</f>
        <v>1686.0680000000002</v>
      </c>
      <c r="G85" s="130">
        <f t="shared" ref="G85" si="55">F85*$H$5+F85</f>
        <v>2031.7119400000001</v>
      </c>
      <c r="H85" s="94">
        <f t="shared" ref="H85" si="56">E85*G85</f>
        <v>2031.7119400000001</v>
      </c>
    </row>
    <row r="86" spans="1:8" ht="38.25" x14ac:dyDescent="0.2">
      <c r="A86" s="154" t="s">
        <v>246</v>
      </c>
      <c r="B86" s="171" t="s">
        <v>123</v>
      </c>
      <c r="C86" s="152" t="s">
        <v>192</v>
      </c>
      <c r="D86" s="158" t="s">
        <v>82</v>
      </c>
      <c r="E86" s="63">
        <v>3</v>
      </c>
      <c r="F86" s="51">
        <f>(236.34*0.8*2.1)+693.44</f>
        <v>1090.4911999999999</v>
      </c>
      <c r="G86" s="130">
        <f t="shared" ref="G86:G88" si="57">F86*$H$5+F86</f>
        <v>1314.041896</v>
      </c>
      <c r="H86" s="94">
        <f t="shared" ref="H86:H88" si="58">E86*G86</f>
        <v>3942.1256880000001</v>
      </c>
    </row>
    <row r="87" spans="1:8" ht="63.75" x14ac:dyDescent="0.2">
      <c r="A87" s="154" t="s">
        <v>137</v>
      </c>
      <c r="B87" s="171" t="s">
        <v>122</v>
      </c>
      <c r="C87" s="152" t="s">
        <v>193</v>
      </c>
      <c r="D87" s="158" t="s">
        <v>82</v>
      </c>
      <c r="E87" s="63">
        <v>1</v>
      </c>
      <c r="F87" s="51">
        <f>714.8+76.82</f>
        <v>791.61999999999989</v>
      </c>
      <c r="G87" s="130">
        <f t="shared" ref="G87" si="59">F87*$H$5+F87</f>
        <v>953.90209999999979</v>
      </c>
      <c r="H87" s="94">
        <f t="shared" ref="H87" si="60">E87*G87</f>
        <v>953.90209999999979</v>
      </c>
    </row>
    <row r="88" spans="1:8" ht="25.5" x14ac:dyDescent="0.2">
      <c r="A88" s="154" t="s">
        <v>138</v>
      </c>
      <c r="B88" s="171"/>
      <c r="C88" s="152" t="s">
        <v>195</v>
      </c>
      <c r="D88" s="158" t="s">
        <v>82</v>
      </c>
      <c r="E88" s="63">
        <v>2</v>
      </c>
      <c r="F88" s="51">
        <v>80</v>
      </c>
      <c r="G88" s="130">
        <f t="shared" si="57"/>
        <v>96.4</v>
      </c>
      <c r="H88" s="94">
        <f t="shared" si="58"/>
        <v>192.8</v>
      </c>
    </row>
    <row r="89" spans="1:8" x14ac:dyDescent="0.2">
      <c r="A89" s="20" t="s">
        <v>139</v>
      </c>
      <c r="B89" s="89"/>
      <c r="C89" s="50" t="s">
        <v>14</v>
      </c>
      <c r="D89" s="48"/>
      <c r="E89" s="73"/>
      <c r="F89" s="73"/>
      <c r="G89" s="88"/>
      <c r="H89" s="76"/>
    </row>
    <row r="90" spans="1:8" ht="25.5" x14ac:dyDescent="0.2">
      <c r="A90" s="137" t="s">
        <v>140</v>
      </c>
      <c r="B90" s="53">
        <v>94575</v>
      </c>
      <c r="C90" s="152" t="s">
        <v>197</v>
      </c>
      <c r="D90" s="158" t="s">
        <v>5</v>
      </c>
      <c r="E90" s="63">
        <f>2*(1*1.2)+1*(1.5*1.2)+4*(2*1.2)</f>
        <v>13.799999999999999</v>
      </c>
      <c r="F90" s="51">
        <v>420</v>
      </c>
      <c r="G90" s="130">
        <f t="shared" ref="G90:G91" si="61">F90*$H$5+F90</f>
        <v>506.1</v>
      </c>
      <c r="H90" s="94">
        <f t="shared" ref="H90" si="62">E90*G90</f>
        <v>6984.1799999999994</v>
      </c>
    </row>
    <row r="91" spans="1:8" ht="26.25" thickBot="1" x14ac:dyDescent="0.25">
      <c r="A91" s="137" t="s">
        <v>141</v>
      </c>
      <c r="B91" s="53"/>
      <c r="C91" s="152" t="s">
        <v>196</v>
      </c>
      <c r="D91" s="53" t="s">
        <v>82</v>
      </c>
      <c r="E91" s="63">
        <v>1</v>
      </c>
      <c r="F91" s="51">
        <v>130</v>
      </c>
      <c r="G91" s="130">
        <f t="shared" si="61"/>
        <v>156.65</v>
      </c>
      <c r="H91" s="94">
        <f t="shared" ref="H91" si="63">E91*G91</f>
        <v>156.65</v>
      </c>
    </row>
    <row r="92" spans="1:8" ht="13.5" thickBot="1" x14ac:dyDescent="0.25">
      <c r="A92" s="15"/>
      <c r="B92" s="5"/>
      <c r="C92" s="2"/>
      <c r="D92" s="3"/>
      <c r="E92" s="101"/>
      <c r="F92" s="98" t="s">
        <v>47</v>
      </c>
      <c r="G92" s="114">
        <f>SUM(G85:G91)</f>
        <v>5058.8059359999988</v>
      </c>
      <c r="H92" s="115">
        <f>SUM(H85:H91)</f>
        <v>14261.369728</v>
      </c>
    </row>
    <row r="93" spans="1:8" x14ac:dyDescent="0.2">
      <c r="A93" s="15"/>
      <c r="B93" s="5"/>
      <c r="C93" s="2"/>
      <c r="D93" s="3"/>
      <c r="E93" s="23"/>
      <c r="F93" s="102"/>
      <c r="G93" s="102"/>
      <c r="H93" s="102"/>
    </row>
    <row r="94" spans="1:8" ht="12.75" customHeight="1" x14ac:dyDescent="0.2">
      <c r="A94" s="27" t="s">
        <v>247</v>
      </c>
      <c r="B94" s="32"/>
      <c r="C94" s="204" t="s">
        <v>153</v>
      </c>
      <c r="D94" s="204"/>
      <c r="E94" s="204"/>
      <c r="F94" s="204"/>
      <c r="G94" s="204"/>
      <c r="H94" s="204"/>
    </row>
    <row r="95" spans="1:8" x14ac:dyDescent="0.2">
      <c r="A95" s="66" t="s">
        <v>248</v>
      </c>
      <c r="B95" s="175"/>
      <c r="C95" s="178" t="s">
        <v>154</v>
      </c>
      <c r="D95" s="177"/>
      <c r="E95" s="177"/>
      <c r="F95" s="177"/>
      <c r="G95" s="177"/>
      <c r="H95" s="177"/>
    </row>
    <row r="96" spans="1:8" ht="38.25" x14ac:dyDescent="0.2">
      <c r="A96" s="136" t="s">
        <v>249</v>
      </c>
      <c r="B96" s="81">
        <v>97593</v>
      </c>
      <c r="C96" s="176" t="s">
        <v>201</v>
      </c>
      <c r="D96" s="58" t="s">
        <v>82</v>
      </c>
      <c r="E96" s="174">
        <v>11</v>
      </c>
      <c r="F96" s="190">
        <v>77</v>
      </c>
      <c r="G96" s="88">
        <f t="shared" ref="G96:G104" si="64">F96*$H$5+F96</f>
        <v>92.784999999999997</v>
      </c>
      <c r="H96" s="76">
        <f t="shared" ref="H96" si="65">E96*G96</f>
        <v>1020.635</v>
      </c>
    </row>
    <row r="97" spans="1:8" ht="38.25" x14ac:dyDescent="0.2">
      <c r="A97" s="154" t="s">
        <v>250</v>
      </c>
      <c r="B97" s="81" t="s">
        <v>78</v>
      </c>
      <c r="C97" s="83" t="s">
        <v>200</v>
      </c>
      <c r="D97" s="58" t="s">
        <v>82</v>
      </c>
      <c r="E97" s="273">
        <v>6</v>
      </c>
      <c r="F97" s="190">
        <v>16</v>
      </c>
      <c r="G97" s="130">
        <f t="shared" si="64"/>
        <v>19.28</v>
      </c>
      <c r="H97" s="94">
        <f t="shared" ref="H97:H104" si="66">E97*G97</f>
        <v>115.68</v>
      </c>
    </row>
    <row r="98" spans="1:8" ht="25.5" x14ac:dyDescent="0.2">
      <c r="A98" s="154" t="s">
        <v>251</v>
      </c>
      <c r="B98" s="81"/>
      <c r="C98" s="83" t="s">
        <v>220</v>
      </c>
      <c r="D98" s="58" t="s">
        <v>82</v>
      </c>
      <c r="E98" s="273">
        <v>3</v>
      </c>
      <c r="F98" s="190">
        <v>32</v>
      </c>
      <c r="G98" s="130">
        <f t="shared" ref="G98:G99" si="67">F98*$H$5+F98</f>
        <v>38.56</v>
      </c>
      <c r="H98" s="94">
        <f t="shared" ref="H98:H99" si="68">E98*G98</f>
        <v>115.68</v>
      </c>
    </row>
    <row r="99" spans="1:8" ht="38.25" x14ac:dyDescent="0.2">
      <c r="A99" s="154" t="s">
        <v>252</v>
      </c>
      <c r="B99" s="81">
        <v>92000</v>
      </c>
      <c r="C99" s="83" t="s">
        <v>157</v>
      </c>
      <c r="D99" s="58" t="s">
        <v>82</v>
      </c>
      <c r="E99" s="273">
        <v>14</v>
      </c>
      <c r="F99" s="190">
        <v>26.22</v>
      </c>
      <c r="G99" s="130">
        <f t="shared" si="67"/>
        <v>31.595099999999999</v>
      </c>
      <c r="H99" s="94">
        <f t="shared" si="68"/>
        <v>442.33139999999997</v>
      </c>
    </row>
    <row r="100" spans="1:8" ht="38.25" x14ac:dyDescent="0.2">
      <c r="A100" s="154" t="s">
        <v>253</v>
      </c>
      <c r="B100" s="82">
        <v>91996</v>
      </c>
      <c r="C100" s="83" t="s">
        <v>158</v>
      </c>
      <c r="D100" s="58" t="s">
        <v>82</v>
      </c>
      <c r="E100" s="273">
        <v>14</v>
      </c>
      <c r="F100" s="190">
        <v>29.54</v>
      </c>
      <c r="G100" s="130">
        <f t="shared" si="64"/>
        <v>35.595700000000001</v>
      </c>
      <c r="H100" s="94">
        <f t="shared" si="66"/>
        <v>498.33980000000003</v>
      </c>
    </row>
    <row r="101" spans="1:8" ht="38.25" x14ac:dyDescent="0.2">
      <c r="A101" s="154" t="s">
        <v>254</v>
      </c>
      <c r="B101" s="82">
        <v>91992</v>
      </c>
      <c r="C101" s="83" t="s">
        <v>159</v>
      </c>
      <c r="D101" s="58" t="s">
        <v>82</v>
      </c>
      <c r="E101" s="273">
        <v>5</v>
      </c>
      <c r="F101" s="190">
        <v>38.11</v>
      </c>
      <c r="G101" s="130">
        <f t="shared" si="64"/>
        <v>45.922550000000001</v>
      </c>
      <c r="H101" s="94">
        <f t="shared" si="66"/>
        <v>229.61275000000001</v>
      </c>
    </row>
    <row r="102" spans="1:8" ht="38.25" x14ac:dyDescent="0.2">
      <c r="A102" s="154" t="s">
        <v>255</v>
      </c>
      <c r="B102" s="82">
        <v>91953</v>
      </c>
      <c r="C102" s="83" t="s">
        <v>160</v>
      </c>
      <c r="D102" s="58" t="s">
        <v>82</v>
      </c>
      <c r="E102" s="273">
        <v>6</v>
      </c>
      <c r="F102" s="190">
        <v>24.81</v>
      </c>
      <c r="G102" s="130">
        <f t="shared" si="64"/>
        <v>29.896049999999999</v>
      </c>
      <c r="H102" s="94">
        <f t="shared" si="66"/>
        <v>179.37629999999999</v>
      </c>
    </row>
    <row r="103" spans="1:8" ht="25.5" x14ac:dyDescent="0.2">
      <c r="A103" s="154" t="s">
        <v>256</v>
      </c>
      <c r="B103" s="81" t="s">
        <v>78</v>
      </c>
      <c r="C103" s="83" t="s">
        <v>161</v>
      </c>
      <c r="D103" s="84" t="s">
        <v>82</v>
      </c>
      <c r="E103" s="273">
        <v>3</v>
      </c>
      <c r="F103" s="190">
        <v>87.25</v>
      </c>
      <c r="G103" s="130">
        <f t="shared" si="64"/>
        <v>105.13625</v>
      </c>
      <c r="H103" s="94">
        <f t="shared" si="66"/>
        <v>315.40875</v>
      </c>
    </row>
    <row r="104" spans="1:8" ht="38.25" x14ac:dyDescent="0.2">
      <c r="A104" s="154" t="s">
        <v>257</v>
      </c>
      <c r="B104" s="82">
        <v>83399</v>
      </c>
      <c r="C104" s="83" t="s">
        <v>162</v>
      </c>
      <c r="D104" s="58" t="s">
        <v>82</v>
      </c>
      <c r="E104" s="273">
        <v>1</v>
      </c>
      <c r="F104" s="191">
        <v>30.91</v>
      </c>
      <c r="G104" s="130">
        <f t="shared" si="64"/>
        <v>37.246549999999999</v>
      </c>
      <c r="H104" s="94">
        <f t="shared" si="66"/>
        <v>37.246549999999999</v>
      </c>
    </row>
    <row r="105" spans="1:8" ht="38.25" x14ac:dyDescent="0.2">
      <c r="A105" s="154" t="s">
        <v>258</v>
      </c>
      <c r="B105" s="203" t="s">
        <v>51</v>
      </c>
      <c r="C105" s="83" t="s">
        <v>163</v>
      </c>
      <c r="D105" s="58" t="s">
        <v>82</v>
      </c>
      <c r="E105" s="194">
        <v>5</v>
      </c>
      <c r="F105" s="191">
        <v>14.52</v>
      </c>
      <c r="G105" s="130">
        <f t="shared" ref="G105:G115" si="69">F105*$H$5+F105</f>
        <v>17.496600000000001</v>
      </c>
      <c r="H105" s="94">
        <f t="shared" ref="H105:H115" si="70">E105*G105</f>
        <v>87.483000000000004</v>
      </c>
    </row>
    <row r="106" spans="1:8" ht="38.25" x14ac:dyDescent="0.2">
      <c r="A106" s="154" t="s">
        <v>259</v>
      </c>
      <c r="B106" s="203" t="s">
        <v>51</v>
      </c>
      <c r="C106" s="83" t="s">
        <v>164</v>
      </c>
      <c r="D106" s="58" t="s">
        <v>82</v>
      </c>
      <c r="E106" s="194">
        <v>5</v>
      </c>
      <c r="F106" s="191">
        <v>14.52</v>
      </c>
      <c r="G106" s="130">
        <f t="shared" si="69"/>
        <v>17.496600000000001</v>
      </c>
      <c r="H106" s="94">
        <f t="shared" si="70"/>
        <v>87.483000000000004</v>
      </c>
    </row>
    <row r="107" spans="1:8" ht="38.25" x14ac:dyDescent="0.2">
      <c r="A107" s="154" t="s">
        <v>260</v>
      </c>
      <c r="B107" s="81" t="s">
        <v>83</v>
      </c>
      <c r="C107" s="83" t="s">
        <v>165</v>
      </c>
      <c r="D107" s="58" t="s">
        <v>82</v>
      </c>
      <c r="E107" s="194">
        <v>1</v>
      </c>
      <c r="F107" s="191">
        <v>21.87</v>
      </c>
      <c r="G107" s="130">
        <f t="shared" si="69"/>
        <v>26.353349999999999</v>
      </c>
      <c r="H107" s="94">
        <f t="shared" si="70"/>
        <v>26.353349999999999</v>
      </c>
    </row>
    <row r="108" spans="1:8" ht="25.5" x14ac:dyDescent="0.2">
      <c r="A108" s="154" t="s">
        <v>261</v>
      </c>
      <c r="B108" s="82" t="s">
        <v>78</v>
      </c>
      <c r="C108" s="83" t="s">
        <v>166</v>
      </c>
      <c r="D108" s="58" t="s">
        <v>82</v>
      </c>
      <c r="E108" s="194">
        <v>1</v>
      </c>
      <c r="F108" s="191">
        <v>86.9</v>
      </c>
      <c r="G108" s="130">
        <f t="shared" si="69"/>
        <v>104.7145</v>
      </c>
      <c r="H108" s="94">
        <f t="shared" si="70"/>
        <v>104.7145</v>
      </c>
    </row>
    <row r="109" spans="1:8" ht="51" x14ac:dyDescent="0.2">
      <c r="A109" s="154" t="s">
        <v>262</v>
      </c>
      <c r="B109" s="81" t="s">
        <v>167</v>
      </c>
      <c r="C109" s="83" t="s">
        <v>219</v>
      </c>
      <c r="D109" s="58" t="s">
        <v>82</v>
      </c>
      <c r="E109" s="274">
        <v>1</v>
      </c>
      <c r="F109" s="191">
        <v>169</v>
      </c>
      <c r="G109" s="130">
        <f t="shared" si="69"/>
        <v>203.64499999999998</v>
      </c>
      <c r="H109" s="94">
        <f t="shared" si="70"/>
        <v>203.64499999999998</v>
      </c>
    </row>
    <row r="110" spans="1:8" ht="25.5" x14ac:dyDescent="0.2">
      <c r="A110" s="154" t="s">
        <v>263</v>
      </c>
      <c r="B110" s="81"/>
      <c r="C110" s="83" t="s">
        <v>202</v>
      </c>
      <c r="D110" s="159" t="s">
        <v>6</v>
      </c>
      <c r="E110" s="194">
        <v>24.32</v>
      </c>
      <c r="F110" s="191">
        <v>32.299999999999997</v>
      </c>
      <c r="G110" s="130">
        <f t="shared" si="69"/>
        <v>38.921499999999995</v>
      </c>
      <c r="H110" s="94">
        <f t="shared" si="70"/>
        <v>946.57087999999987</v>
      </c>
    </row>
    <row r="111" spans="1:8" ht="51" x14ac:dyDescent="0.2">
      <c r="A111" s="154" t="s">
        <v>264</v>
      </c>
      <c r="B111" s="82">
        <v>91854</v>
      </c>
      <c r="C111" s="192" t="s">
        <v>173</v>
      </c>
      <c r="D111" s="193" t="s">
        <v>6</v>
      </c>
      <c r="E111" s="194">
        <f>E99*3+E100*2.7+E101*1.7+E102*2.7</f>
        <v>104.50000000000001</v>
      </c>
      <c r="F111" s="191">
        <v>7.86</v>
      </c>
      <c r="G111" s="130">
        <f t="shared" ref="G111" si="71">F111*$H$5+F111</f>
        <v>9.4712999999999994</v>
      </c>
      <c r="H111" s="94">
        <f t="shared" ref="H111" si="72">E111*G111</f>
        <v>989.75085000000001</v>
      </c>
    </row>
    <row r="112" spans="1:8" x14ac:dyDescent="0.2">
      <c r="A112" s="154" t="s">
        <v>265</v>
      </c>
      <c r="B112" s="81">
        <v>91941</v>
      </c>
      <c r="C112" s="192" t="s">
        <v>172</v>
      </c>
      <c r="D112" s="193" t="s">
        <v>82</v>
      </c>
      <c r="E112" s="194">
        <f>E99+E100+E101+E102+E103</f>
        <v>42</v>
      </c>
      <c r="F112" s="191">
        <v>8.64</v>
      </c>
      <c r="G112" s="130">
        <f t="shared" ref="G112" si="73">F112*$H$5+F112</f>
        <v>10.411200000000001</v>
      </c>
      <c r="H112" s="94">
        <f t="shared" ref="H112" si="74">E112*G112</f>
        <v>437.27040000000005</v>
      </c>
    </row>
    <row r="113" spans="1:8" ht="38.25" x14ac:dyDescent="0.2">
      <c r="A113" s="154" t="s">
        <v>266</v>
      </c>
      <c r="B113" s="81">
        <v>91924</v>
      </c>
      <c r="C113" s="83" t="s">
        <v>168</v>
      </c>
      <c r="D113" s="58" t="s">
        <v>6</v>
      </c>
      <c r="E113" s="194">
        <f>10*17</f>
        <v>170</v>
      </c>
      <c r="F113" s="191">
        <v>2.0299999999999998</v>
      </c>
      <c r="G113" s="130">
        <f t="shared" si="69"/>
        <v>2.4461499999999998</v>
      </c>
      <c r="H113" s="94">
        <f t="shared" si="70"/>
        <v>415.84549999999996</v>
      </c>
    </row>
    <row r="114" spans="1:8" ht="38.25" x14ac:dyDescent="0.2">
      <c r="A114" s="154" t="s">
        <v>267</v>
      </c>
      <c r="B114" s="81">
        <v>91926</v>
      </c>
      <c r="C114" s="83" t="s">
        <v>169</v>
      </c>
      <c r="D114" s="58" t="s">
        <v>6</v>
      </c>
      <c r="E114" s="194">
        <f>(E99+E100)*10</f>
        <v>280</v>
      </c>
      <c r="F114" s="191">
        <v>2.84</v>
      </c>
      <c r="G114" s="130">
        <f t="shared" si="69"/>
        <v>3.4221999999999997</v>
      </c>
      <c r="H114" s="94">
        <f t="shared" si="70"/>
        <v>958.21599999999989</v>
      </c>
    </row>
    <row r="115" spans="1:8" ht="38.25" x14ac:dyDescent="0.2">
      <c r="A115" s="154" t="s">
        <v>268</v>
      </c>
      <c r="B115" s="82">
        <v>91930</v>
      </c>
      <c r="C115" s="83" t="s">
        <v>170</v>
      </c>
      <c r="D115" s="58" t="s">
        <v>6</v>
      </c>
      <c r="E115" s="194">
        <f>50+30</f>
        <v>80</v>
      </c>
      <c r="F115" s="191">
        <v>6.02</v>
      </c>
      <c r="G115" s="130">
        <f t="shared" si="69"/>
        <v>7.2540999999999993</v>
      </c>
      <c r="H115" s="94">
        <f t="shared" si="70"/>
        <v>580.32799999999997</v>
      </c>
    </row>
    <row r="116" spans="1:8" ht="38.25" x14ac:dyDescent="0.2">
      <c r="A116" s="154" t="s">
        <v>269</v>
      </c>
      <c r="B116" s="82">
        <v>91932</v>
      </c>
      <c r="C116" s="83" t="s">
        <v>218</v>
      </c>
      <c r="D116" s="159" t="s">
        <v>6</v>
      </c>
      <c r="E116" s="194">
        <f>3*11.5</f>
        <v>34.5</v>
      </c>
      <c r="F116" s="191">
        <v>9.75</v>
      </c>
      <c r="G116" s="130">
        <f t="shared" ref="G116" si="75">F116*$H$5+F116</f>
        <v>11.748749999999999</v>
      </c>
      <c r="H116" s="94">
        <f t="shared" ref="H116" si="76">E116*G116</f>
        <v>405.33187499999997</v>
      </c>
    </row>
    <row r="117" spans="1:8" x14ac:dyDescent="0.2">
      <c r="A117" s="66" t="s">
        <v>270</v>
      </c>
      <c r="B117" s="175"/>
      <c r="C117" s="178" t="s">
        <v>155</v>
      </c>
      <c r="D117" s="60"/>
      <c r="E117" s="194"/>
      <c r="F117" s="190"/>
      <c r="G117" s="88"/>
      <c r="H117" s="76"/>
    </row>
    <row r="118" spans="1:8" ht="25.5" x14ac:dyDescent="0.2">
      <c r="A118" s="154" t="s">
        <v>271</v>
      </c>
      <c r="B118" s="82">
        <v>91854</v>
      </c>
      <c r="C118" s="179" t="s">
        <v>171</v>
      </c>
      <c r="D118" s="193" t="s">
        <v>6</v>
      </c>
      <c r="E118" s="194">
        <f>9*3</f>
        <v>27</v>
      </c>
      <c r="F118" s="191">
        <v>7.86</v>
      </c>
      <c r="G118" s="130">
        <f t="shared" ref="G118" si="77">F118*$H$5+F118</f>
        <v>9.4712999999999994</v>
      </c>
      <c r="H118" s="94">
        <f t="shared" ref="H118" si="78">E118*G118</f>
        <v>255.7251</v>
      </c>
    </row>
    <row r="119" spans="1:8" x14ac:dyDescent="0.2">
      <c r="A119" s="154" t="s">
        <v>272</v>
      </c>
      <c r="B119" s="81">
        <v>91941</v>
      </c>
      <c r="C119" s="179" t="s">
        <v>172</v>
      </c>
      <c r="D119" s="193" t="s">
        <v>82</v>
      </c>
      <c r="E119" s="194">
        <v>9</v>
      </c>
      <c r="F119" s="191">
        <v>9.2100000000000009</v>
      </c>
      <c r="G119" s="130">
        <f t="shared" ref="G119" si="79">F119*$H$5+F119</f>
        <v>11.098050000000001</v>
      </c>
      <c r="H119" s="94">
        <f t="shared" ref="H119" si="80">E119*G119</f>
        <v>99.882450000000006</v>
      </c>
    </row>
    <row r="120" spans="1:8" ht="25.5" x14ac:dyDescent="0.2">
      <c r="A120" s="154" t="s">
        <v>273</v>
      </c>
      <c r="B120" s="82">
        <v>98308</v>
      </c>
      <c r="C120" s="192" t="s">
        <v>176</v>
      </c>
      <c r="D120" s="193" t="s">
        <v>82</v>
      </c>
      <c r="E120" s="194">
        <v>9</v>
      </c>
      <c r="F120" s="190">
        <v>27.87</v>
      </c>
      <c r="G120" s="130">
        <f t="shared" ref="G120" si="81">F120*$H$5+F120</f>
        <v>33.583350000000003</v>
      </c>
      <c r="H120" s="94">
        <f t="shared" ref="H120" si="82">E120*G120</f>
        <v>302.25015000000002</v>
      </c>
    </row>
    <row r="121" spans="1:8" x14ac:dyDescent="0.2">
      <c r="A121" s="66" t="s">
        <v>274</v>
      </c>
      <c r="B121" s="175"/>
      <c r="C121" s="178" t="s">
        <v>156</v>
      </c>
      <c r="D121" s="60"/>
      <c r="E121" s="194"/>
      <c r="F121" s="190"/>
      <c r="G121" s="88"/>
      <c r="H121" s="76"/>
    </row>
    <row r="122" spans="1:8" ht="38.25" x14ac:dyDescent="0.2">
      <c r="A122" s="138" t="s">
        <v>275</v>
      </c>
      <c r="B122" s="180" t="s">
        <v>175</v>
      </c>
      <c r="C122" s="179" t="s">
        <v>174</v>
      </c>
      <c r="D122" s="193" t="s">
        <v>6</v>
      </c>
      <c r="E122" s="194">
        <f>(5.85+6.13+2.94+4.01+8.44+12.87+9.08+5.04+2)+9*5</f>
        <v>101.35999999999999</v>
      </c>
      <c r="F122" s="190">
        <v>2.4500000000000002</v>
      </c>
      <c r="G122" s="130">
        <f t="shared" ref="G122" si="83">F122*$H$5+F122</f>
        <v>2.9522500000000003</v>
      </c>
      <c r="H122" s="94">
        <f t="shared" ref="H122" si="84">E122*G122</f>
        <v>299.24005999999997</v>
      </c>
    </row>
    <row r="123" spans="1:8" ht="25.5" x14ac:dyDescent="0.2">
      <c r="A123" s="138" t="s">
        <v>276</v>
      </c>
      <c r="B123" s="180"/>
      <c r="C123" s="83" t="s">
        <v>202</v>
      </c>
      <c r="D123" s="193" t="s">
        <v>6</v>
      </c>
      <c r="E123" s="194">
        <v>24.32</v>
      </c>
      <c r="F123" s="191">
        <v>32.299999999999997</v>
      </c>
      <c r="G123" s="130">
        <f t="shared" ref="G123" si="85">F123*$H$5+F123</f>
        <v>38.921499999999995</v>
      </c>
      <c r="H123" s="94">
        <f t="shared" ref="H123" si="86">E123*G123</f>
        <v>946.57087999999987</v>
      </c>
    </row>
    <row r="124" spans="1:8" ht="25.5" x14ac:dyDescent="0.2">
      <c r="A124" s="138" t="s">
        <v>277</v>
      </c>
      <c r="B124" s="82">
        <v>91854</v>
      </c>
      <c r="C124" s="179" t="s">
        <v>178</v>
      </c>
      <c r="D124" s="193" t="s">
        <v>6</v>
      </c>
      <c r="E124" s="194">
        <f>9*3</f>
        <v>27</v>
      </c>
      <c r="F124" s="191">
        <v>7.86</v>
      </c>
      <c r="G124" s="130">
        <f t="shared" ref="G124:G126" si="87">F124*$H$5+F124</f>
        <v>9.4712999999999994</v>
      </c>
      <c r="H124" s="94">
        <f t="shared" ref="H124:H126" si="88">E124*G124</f>
        <v>255.7251</v>
      </c>
    </row>
    <row r="125" spans="1:8" x14ac:dyDescent="0.2">
      <c r="A125" s="138" t="s">
        <v>278</v>
      </c>
      <c r="B125" s="81">
        <v>91941</v>
      </c>
      <c r="C125" s="179" t="s">
        <v>172</v>
      </c>
      <c r="D125" s="193" t="s">
        <v>82</v>
      </c>
      <c r="E125" s="194">
        <v>9</v>
      </c>
      <c r="F125" s="191">
        <v>9.2100000000000009</v>
      </c>
      <c r="G125" s="130">
        <f t="shared" si="87"/>
        <v>11.098050000000001</v>
      </c>
      <c r="H125" s="94">
        <f t="shared" si="88"/>
        <v>99.882450000000006</v>
      </c>
    </row>
    <row r="126" spans="1:8" ht="26.25" thickBot="1" x14ac:dyDescent="0.25">
      <c r="A126" s="138" t="s">
        <v>279</v>
      </c>
      <c r="B126" s="82">
        <v>98307</v>
      </c>
      <c r="C126" s="192" t="s">
        <v>177</v>
      </c>
      <c r="D126" s="193" t="s">
        <v>82</v>
      </c>
      <c r="E126" s="194">
        <v>9</v>
      </c>
      <c r="F126" s="190">
        <v>41.19</v>
      </c>
      <c r="G126" s="130">
        <f t="shared" si="87"/>
        <v>49.633949999999999</v>
      </c>
      <c r="H126" s="94">
        <f t="shared" si="88"/>
        <v>446.70555000000002</v>
      </c>
    </row>
    <row r="127" spans="1:8" ht="13.5" thickBot="1" x14ac:dyDescent="0.25">
      <c r="A127" s="15"/>
      <c r="B127" s="9"/>
      <c r="C127" s="22"/>
      <c r="D127" s="4"/>
      <c r="E127" s="107"/>
      <c r="F127" s="111" t="s">
        <v>47</v>
      </c>
      <c r="G127" s="112">
        <f>SUM(G96:G104)</f>
        <v>436.0172</v>
      </c>
      <c r="H127" s="113">
        <f>SUM(H96:H126)</f>
        <v>10903.284644999998</v>
      </c>
    </row>
    <row r="128" spans="1:8" x14ac:dyDescent="0.2">
      <c r="A128" s="15"/>
      <c r="B128" s="9"/>
      <c r="C128" s="22"/>
      <c r="D128" s="4"/>
      <c r="E128" s="15"/>
      <c r="F128" s="102"/>
      <c r="G128" s="105"/>
      <c r="H128" s="106"/>
    </row>
    <row r="129" spans="1:20" x14ac:dyDescent="0.2">
      <c r="A129" s="27" t="s">
        <v>280</v>
      </c>
      <c r="B129" s="35"/>
      <c r="C129" s="127" t="s">
        <v>71</v>
      </c>
      <c r="D129" s="36"/>
      <c r="E129" s="29"/>
      <c r="F129" s="37"/>
      <c r="G129" s="37"/>
      <c r="H129" s="37"/>
    </row>
    <row r="130" spans="1:20" ht="25.5" x14ac:dyDescent="0.2">
      <c r="A130" s="138" t="s">
        <v>281</v>
      </c>
      <c r="B130" s="60">
        <v>89402</v>
      </c>
      <c r="C130" s="68" t="s">
        <v>66</v>
      </c>
      <c r="D130" s="67" t="s">
        <v>6</v>
      </c>
      <c r="E130" s="56">
        <v>8.5</v>
      </c>
      <c r="F130" s="51">
        <v>7.01</v>
      </c>
      <c r="G130" s="130">
        <f t="shared" ref="G130:G133" si="89">F130*$H$5+F130</f>
        <v>8.4470499999999991</v>
      </c>
      <c r="H130" s="94">
        <f t="shared" ref="H130:H133" si="90">E130*G130</f>
        <v>71.799924999999988</v>
      </c>
    </row>
    <row r="131" spans="1:20" ht="25.5" x14ac:dyDescent="0.2">
      <c r="A131" s="138" t="s">
        <v>282</v>
      </c>
      <c r="B131" s="60">
        <v>89362</v>
      </c>
      <c r="C131" s="68" t="s">
        <v>67</v>
      </c>
      <c r="D131" s="58" t="s">
        <v>69</v>
      </c>
      <c r="E131" s="56">
        <v>2</v>
      </c>
      <c r="F131" s="51">
        <v>7.19</v>
      </c>
      <c r="G131" s="130">
        <f t="shared" si="89"/>
        <v>8.6639499999999998</v>
      </c>
      <c r="H131" s="94">
        <f t="shared" si="90"/>
        <v>17.3279</v>
      </c>
    </row>
    <row r="132" spans="1:20" ht="25.5" x14ac:dyDescent="0.2">
      <c r="A132" s="138" t="s">
        <v>283</v>
      </c>
      <c r="B132" s="60">
        <v>90373</v>
      </c>
      <c r="C132" s="68" t="s">
        <v>73</v>
      </c>
      <c r="D132" s="58" t="s">
        <v>69</v>
      </c>
      <c r="E132" s="56">
        <v>2</v>
      </c>
      <c r="F132" s="51">
        <v>10.52</v>
      </c>
      <c r="G132" s="130">
        <f t="shared" si="89"/>
        <v>12.676599999999999</v>
      </c>
      <c r="H132" s="94">
        <f t="shared" si="90"/>
        <v>25.353199999999998</v>
      </c>
      <c r="N132" s="168"/>
      <c r="O132" s="168"/>
      <c r="P132" s="168"/>
      <c r="Q132" s="168"/>
      <c r="R132" s="168"/>
      <c r="S132" s="168"/>
      <c r="T132" s="168"/>
    </row>
    <row r="133" spans="1:20" ht="25.5" x14ac:dyDescent="0.2">
      <c r="A133" s="138" t="s">
        <v>284</v>
      </c>
      <c r="B133" s="60">
        <v>89395</v>
      </c>
      <c r="C133" s="68" t="s">
        <v>68</v>
      </c>
      <c r="D133" s="58" t="s">
        <v>69</v>
      </c>
      <c r="E133" s="56">
        <v>1</v>
      </c>
      <c r="F133" s="51">
        <v>9.91</v>
      </c>
      <c r="G133" s="130">
        <f t="shared" si="89"/>
        <v>11.941549999999999</v>
      </c>
      <c r="H133" s="94">
        <f t="shared" si="90"/>
        <v>11.941549999999999</v>
      </c>
      <c r="N133" s="168"/>
      <c r="O133" s="168"/>
      <c r="P133" s="168"/>
      <c r="Q133" s="168"/>
      <c r="R133" s="168"/>
      <c r="S133" s="168"/>
      <c r="T133" s="168"/>
    </row>
    <row r="134" spans="1:20" x14ac:dyDescent="0.2">
      <c r="A134" s="138"/>
      <c r="B134" s="60"/>
      <c r="C134" s="70" t="s">
        <v>70</v>
      </c>
      <c r="D134" s="58"/>
      <c r="E134" s="56"/>
      <c r="F134" s="51"/>
      <c r="G134" s="88"/>
      <c r="H134" s="76"/>
    </row>
    <row r="135" spans="1:20" ht="51.75" thickBot="1" x14ac:dyDescent="0.25">
      <c r="A135" s="138" t="s">
        <v>285</v>
      </c>
      <c r="B135" s="60">
        <v>89972</v>
      </c>
      <c r="C135" s="163" t="s">
        <v>118</v>
      </c>
      <c r="D135" s="58" t="s">
        <v>69</v>
      </c>
      <c r="E135" s="56">
        <v>1</v>
      </c>
      <c r="F135" s="51">
        <v>69.88</v>
      </c>
      <c r="G135" s="130">
        <f t="shared" ref="G135" si="91">F135*$H$5+F135</f>
        <v>84.205399999999997</v>
      </c>
      <c r="H135" s="94">
        <f t="shared" ref="H135" si="92">E135*G135</f>
        <v>84.205399999999997</v>
      </c>
    </row>
    <row r="136" spans="1:20" ht="13.5" thickBot="1" x14ac:dyDescent="0.25">
      <c r="A136" s="15"/>
      <c r="B136" s="25"/>
      <c r="C136" s="2"/>
      <c r="D136" s="3"/>
      <c r="E136" s="104"/>
      <c r="F136" s="103" t="s">
        <v>47</v>
      </c>
      <c r="G136" s="99">
        <f>SUM(G130:G135)</f>
        <v>125.93455</v>
      </c>
      <c r="H136" s="100">
        <f>SUM(H130:H135)</f>
        <v>210.62797499999999</v>
      </c>
    </row>
    <row r="137" spans="1:20" x14ac:dyDescent="0.2">
      <c r="A137" s="66"/>
      <c r="B137" s="60"/>
      <c r="C137" s="69"/>
      <c r="D137" s="58"/>
      <c r="E137" s="56"/>
      <c r="F137" s="110"/>
      <c r="G137" s="110"/>
      <c r="H137" s="110"/>
    </row>
    <row r="138" spans="1:20" x14ac:dyDescent="0.2">
      <c r="A138" s="27" t="s">
        <v>286</v>
      </c>
      <c r="B138" s="35"/>
      <c r="C138" s="127" t="s">
        <v>72</v>
      </c>
      <c r="D138" s="36"/>
      <c r="E138" s="29"/>
      <c r="F138" s="37"/>
      <c r="G138" s="37"/>
      <c r="H138" s="37"/>
    </row>
    <row r="139" spans="1:20" ht="25.5" x14ac:dyDescent="0.2">
      <c r="A139" s="154" t="s">
        <v>287</v>
      </c>
      <c r="B139" s="58">
        <v>89712</v>
      </c>
      <c r="C139" s="68" t="s">
        <v>74</v>
      </c>
      <c r="D139" s="4" t="s">
        <v>6</v>
      </c>
      <c r="E139" s="56">
        <v>7</v>
      </c>
      <c r="F139" s="51">
        <v>21.7</v>
      </c>
      <c r="G139" s="130">
        <f t="shared" ref="G139:G142" si="93">F139*$H$5+F139</f>
        <v>26.148499999999999</v>
      </c>
      <c r="H139" s="94">
        <f t="shared" ref="H139:H142" si="94">E139*G139</f>
        <v>183.03949999999998</v>
      </c>
    </row>
    <row r="140" spans="1:20" ht="25.5" x14ac:dyDescent="0.2">
      <c r="A140" s="154" t="s">
        <v>288</v>
      </c>
      <c r="B140" s="58">
        <v>89732</v>
      </c>
      <c r="C140" s="68" t="s">
        <v>76</v>
      </c>
      <c r="D140" s="58" t="s">
        <v>69</v>
      </c>
      <c r="E140" s="56">
        <v>2</v>
      </c>
      <c r="F140" s="51">
        <v>8.48</v>
      </c>
      <c r="G140" s="130">
        <f t="shared" si="93"/>
        <v>10.218400000000001</v>
      </c>
      <c r="H140" s="94">
        <f t="shared" si="94"/>
        <v>20.436800000000002</v>
      </c>
    </row>
    <row r="141" spans="1:20" ht="51" x14ac:dyDescent="0.2">
      <c r="A141" s="154" t="s">
        <v>289</v>
      </c>
      <c r="B141" s="58">
        <v>89731</v>
      </c>
      <c r="C141" s="68" t="s">
        <v>112</v>
      </c>
      <c r="D141" s="159" t="s">
        <v>82</v>
      </c>
      <c r="E141" s="56">
        <v>2</v>
      </c>
      <c r="F141" s="51">
        <v>8.14</v>
      </c>
      <c r="G141" s="130">
        <f t="shared" ref="G141" si="95">F141*$H$5+F141</f>
        <v>9.8087</v>
      </c>
      <c r="H141" s="94">
        <f t="shared" ref="H141" si="96">E141*G141</f>
        <v>19.6174</v>
      </c>
    </row>
    <row r="142" spans="1:20" ht="39" thickBot="1" x14ac:dyDescent="0.25">
      <c r="A142" s="154" t="s">
        <v>290</v>
      </c>
      <c r="B142" s="159">
        <v>98103</v>
      </c>
      <c r="C142" s="163" t="s">
        <v>113</v>
      </c>
      <c r="D142" s="58" t="s">
        <v>69</v>
      </c>
      <c r="E142" s="56">
        <v>1</v>
      </c>
      <c r="F142" s="51">
        <v>129.79</v>
      </c>
      <c r="G142" s="130">
        <f t="shared" si="93"/>
        <v>156.39695</v>
      </c>
      <c r="H142" s="94">
        <f t="shared" si="94"/>
        <v>156.39695</v>
      </c>
    </row>
    <row r="143" spans="1:20" ht="13.5" thickBot="1" x14ac:dyDescent="0.25">
      <c r="A143" s="15"/>
      <c r="B143" s="9"/>
      <c r="C143" s="22"/>
      <c r="D143" s="4"/>
      <c r="E143" s="107"/>
      <c r="F143" s="103" t="s">
        <v>47</v>
      </c>
      <c r="G143" s="99">
        <f>SUM(G139:G142)</f>
        <v>202.57255000000001</v>
      </c>
      <c r="H143" s="100">
        <f>SUM(H139:H142)</f>
        <v>379.49064999999996</v>
      </c>
    </row>
    <row r="144" spans="1:20" x14ac:dyDescent="0.2">
      <c r="A144" s="15"/>
      <c r="B144" s="9"/>
      <c r="C144" s="22"/>
      <c r="D144" s="4"/>
      <c r="E144" s="107"/>
      <c r="F144" s="164"/>
      <c r="G144" s="165"/>
      <c r="H144" s="166"/>
    </row>
    <row r="145" spans="1:8" x14ac:dyDescent="0.2">
      <c r="A145" s="27" t="s">
        <v>291</v>
      </c>
      <c r="B145" s="35"/>
      <c r="C145" s="162" t="s">
        <v>115</v>
      </c>
      <c r="D145" s="36"/>
      <c r="E145" s="29"/>
      <c r="F145" s="37"/>
      <c r="G145" s="37"/>
      <c r="H145" s="37"/>
    </row>
    <row r="146" spans="1:8" ht="51" x14ac:dyDescent="0.2">
      <c r="A146" s="154" t="s">
        <v>292</v>
      </c>
      <c r="B146" s="9">
        <v>99258</v>
      </c>
      <c r="C146" s="22" t="s">
        <v>114</v>
      </c>
      <c r="D146" s="167" t="s">
        <v>82</v>
      </c>
      <c r="E146" s="56">
        <v>2</v>
      </c>
      <c r="F146" s="195">
        <v>184.71</v>
      </c>
      <c r="G146" s="88">
        <f t="shared" ref="G146" si="97">F146*$H$5+F146</f>
        <v>222.57555000000002</v>
      </c>
      <c r="H146" s="76">
        <f t="shared" ref="H146" si="98">E146*G146</f>
        <v>445.15110000000004</v>
      </c>
    </row>
    <row r="147" spans="1:8" ht="26.25" thickBot="1" x14ac:dyDescent="0.25">
      <c r="A147" s="154" t="s">
        <v>293</v>
      </c>
      <c r="B147" s="58">
        <v>89714</v>
      </c>
      <c r="C147" s="68" t="s">
        <v>75</v>
      </c>
      <c r="D147" s="4" t="s">
        <v>6</v>
      </c>
      <c r="E147" s="56">
        <v>7</v>
      </c>
      <c r="F147" s="51">
        <v>42.57</v>
      </c>
      <c r="G147" s="88">
        <f t="shared" ref="G147" si="99">F147*$H$5+F147</f>
        <v>51.296849999999999</v>
      </c>
      <c r="H147" s="76">
        <f t="shared" ref="H147" si="100">E147*G147</f>
        <v>359.07794999999999</v>
      </c>
    </row>
    <row r="148" spans="1:8" ht="13.5" thickBot="1" x14ac:dyDescent="0.25">
      <c r="A148" s="15"/>
      <c r="B148" s="9"/>
      <c r="C148" s="22"/>
      <c r="D148" s="4"/>
      <c r="E148" s="107"/>
      <c r="F148" s="103" t="s">
        <v>47</v>
      </c>
      <c r="G148" s="99">
        <f>SUM(G146:G147)</f>
        <v>273.87240000000003</v>
      </c>
      <c r="H148" s="100">
        <f>SUM(H146:H147)</f>
        <v>804.22905000000003</v>
      </c>
    </row>
    <row r="149" spans="1:8" x14ac:dyDescent="0.2">
      <c r="A149" s="20"/>
      <c r="B149" s="9"/>
      <c r="C149" s="21"/>
      <c r="D149" s="4"/>
      <c r="E149" s="15"/>
      <c r="F149" s="102"/>
      <c r="G149" s="108"/>
      <c r="H149" s="109"/>
    </row>
    <row r="150" spans="1:8" x14ac:dyDescent="0.2">
      <c r="A150" s="27" t="s">
        <v>142</v>
      </c>
      <c r="B150" s="30"/>
      <c r="C150" s="28" t="s">
        <v>17</v>
      </c>
      <c r="D150" s="34"/>
      <c r="E150" s="74"/>
      <c r="F150" s="85"/>
      <c r="G150" s="85"/>
      <c r="H150" s="85"/>
    </row>
    <row r="151" spans="1:8" ht="25.5" x14ac:dyDescent="0.2">
      <c r="A151" s="77" t="s">
        <v>143</v>
      </c>
      <c r="B151" s="78" t="s">
        <v>78</v>
      </c>
      <c r="C151" s="79" t="s">
        <v>104</v>
      </c>
      <c r="D151" s="80" t="s">
        <v>54</v>
      </c>
      <c r="E151" s="275">
        <v>1</v>
      </c>
      <c r="F151" s="196">
        <v>190</v>
      </c>
      <c r="G151" s="130">
        <f t="shared" ref="G151:G154" si="101">F151*$H$5+F151</f>
        <v>228.95</v>
      </c>
      <c r="H151" s="94">
        <f t="shared" ref="H151" si="102">E151*G151</f>
        <v>228.95</v>
      </c>
    </row>
    <row r="152" spans="1:8" x14ac:dyDescent="0.2">
      <c r="A152" s="77" t="s">
        <v>144</v>
      </c>
      <c r="B152" s="78" t="s">
        <v>78</v>
      </c>
      <c r="C152" s="79" t="s">
        <v>18</v>
      </c>
      <c r="D152" s="80" t="s">
        <v>54</v>
      </c>
      <c r="E152" s="275">
        <v>1</v>
      </c>
      <c r="F152" s="196">
        <v>21</v>
      </c>
      <c r="G152" s="130">
        <f t="shared" si="101"/>
        <v>25.305</v>
      </c>
      <c r="H152" s="94">
        <f t="shared" ref="H152:H154" si="103">E152*G152</f>
        <v>25.305</v>
      </c>
    </row>
    <row r="153" spans="1:8" x14ac:dyDescent="0.2">
      <c r="A153" s="77" t="s">
        <v>294</v>
      </c>
      <c r="B153" s="78" t="s">
        <v>78</v>
      </c>
      <c r="C153" s="79" t="s">
        <v>64</v>
      </c>
      <c r="D153" s="80" t="s">
        <v>54</v>
      </c>
      <c r="E153" s="275">
        <v>1</v>
      </c>
      <c r="F153" s="196">
        <v>17</v>
      </c>
      <c r="G153" s="130">
        <f t="shared" si="101"/>
        <v>20.484999999999999</v>
      </c>
      <c r="H153" s="94">
        <f t="shared" si="103"/>
        <v>20.484999999999999</v>
      </c>
    </row>
    <row r="154" spans="1:8" ht="26.25" thickBot="1" x14ac:dyDescent="0.25">
      <c r="A154" s="77" t="s">
        <v>295</v>
      </c>
      <c r="B154" s="78" t="s">
        <v>116</v>
      </c>
      <c r="C154" s="79" t="s">
        <v>117</v>
      </c>
      <c r="D154" s="80" t="s">
        <v>54</v>
      </c>
      <c r="E154" s="275">
        <v>6</v>
      </c>
      <c r="F154" s="196">
        <v>37.950000000000003</v>
      </c>
      <c r="G154" s="130">
        <f t="shared" si="101"/>
        <v>45.729750000000003</v>
      </c>
      <c r="H154" s="94">
        <f t="shared" si="103"/>
        <v>274.37850000000003</v>
      </c>
    </row>
    <row r="155" spans="1:8" ht="13.5" thickBot="1" x14ac:dyDescent="0.25">
      <c r="A155" s="15"/>
      <c r="B155" s="25"/>
      <c r="C155" s="2"/>
      <c r="D155" s="3"/>
      <c r="E155" s="104"/>
      <c r="F155" s="103" t="s">
        <v>47</v>
      </c>
      <c r="G155" s="99">
        <f>SUM(G151:G154)</f>
        <v>320.46975000000003</v>
      </c>
      <c r="H155" s="100">
        <f>SUM(H151:H154)</f>
        <v>549.11850000000004</v>
      </c>
    </row>
    <row r="156" spans="1:8" x14ac:dyDescent="0.2">
      <c r="A156" s="15"/>
      <c r="B156" s="25"/>
      <c r="C156" s="2"/>
      <c r="D156" s="3"/>
      <c r="E156" s="19"/>
      <c r="F156" s="102"/>
      <c r="G156" s="105"/>
      <c r="H156" s="106"/>
    </row>
    <row r="157" spans="1:8" x14ac:dyDescent="0.2">
      <c r="A157" s="27" t="s">
        <v>145</v>
      </c>
      <c r="B157" s="30"/>
      <c r="C157" s="31" t="s">
        <v>91</v>
      </c>
      <c r="D157" s="128"/>
      <c r="E157" s="30"/>
      <c r="F157" s="30"/>
      <c r="G157" s="30"/>
      <c r="H157" s="30"/>
    </row>
    <row r="158" spans="1:8" ht="51" x14ac:dyDescent="0.2">
      <c r="A158" s="154" t="s">
        <v>146</v>
      </c>
      <c r="B158" s="64" t="s">
        <v>78</v>
      </c>
      <c r="C158" s="156" t="s">
        <v>151</v>
      </c>
      <c r="D158" s="158" t="s">
        <v>5</v>
      </c>
      <c r="E158" s="63">
        <v>1.4</v>
      </c>
      <c r="F158" s="88">
        <v>310</v>
      </c>
      <c r="G158" s="130">
        <f t="shared" ref="G158:G160" si="104">F158*$H$5+F158</f>
        <v>373.55</v>
      </c>
      <c r="H158" s="94">
        <f t="shared" ref="H158:H160" si="105">E158*G158</f>
        <v>522.97</v>
      </c>
    </row>
    <row r="159" spans="1:8" ht="25.5" x14ac:dyDescent="0.2">
      <c r="A159" s="154" t="s">
        <v>147</v>
      </c>
      <c r="B159" s="64"/>
      <c r="C159" s="156" t="s">
        <v>215</v>
      </c>
      <c r="D159" s="158" t="s">
        <v>82</v>
      </c>
      <c r="E159" s="63">
        <v>1</v>
      </c>
      <c r="F159" s="88">
        <v>210</v>
      </c>
      <c r="G159" s="130">
        <f t="shared" ref="G159" si="106">F159*$H$5+F159</f>
        <v>253.05</v>
      </c>
      <c r="H159" s="94">
        <f t="shared" ref="H159" si="107">E159*G159</f>
        <v>253.05</v>
      </c>
    </row>
    <row r="160" spans="1:8" ht="51.75" thickBot="1" x14ac:dyDescent="0.25">
      <c r="A160" s="154" t="s">
        <v>148</v>
      </c>
      <c r="B160" s="153" t="s">
        <v>77</v>
      </c>
      <c r="C160" s="156" t="s">
        <v>217</v>
      </c>
      <c r="D160" s="53" t="s">
        <v>54</v>
      </c>
      <c r="E160" s="63">
        <v>1</v>
      </c>
      <c r="F160" s="51">
        <v>285</v>
      </c>
      <c r="G160" s="130">
        <f t="shared" si="104"/>
        <v>343.42500000000001</v>
      </c>
      <c r="H160" s="94">
        <f t="shared" si="105"/>
        <v>343.42500000000001</v>
      </c>
    </row>
    <row r="161" spans="1:8" ht="13.5" thickBot="1" x14ac:dyDescent="0.25">
      <c r="A161" s="15"/>
      <c r="B161" s="5"/>
      <c r="C161" s="2"/>
      <c r="D161" s="3"/>
      <c r="E161" s="101"/>
      <c r="F161" s="103" t="s">
        <v>47</v>
      </c>
      <c r="G161" s="99">
        <f>SUM(G158:G160)</f>
        <v>970.02500000000009</v>
      </c>
      <c r="H161" s="100">
        <f>SUM(H158:H160)</f>
        <v>1119.4449999999999</v>
      </c>
    </row>
    <row r="162" spans="1:8" x14ac:dyDescent="0.2">
      <c r="A162" s="15"/>
      <c r="B162" s="5"/>
      <c r="C162" s="2"/>
      <c r="D162" s="3"/>
      <c r="E162" s="23"/>
      <c r="F162" s="102"/>
      <c r="G162" s="102"/>
      <c r="H162" s="102"/>
    </row>
    <row r="163" spans="1:8" x14ac:dyDescent="0.2">
      <c r="A163" s="27" t="s">
        <v>149</v>
      </c>
      <c r="B163" s="30"/>
      <c r="C163" s="31" t="s">
        <v>19</v>
      </c>
      <c r="D163" s="31"/>
      <c r="E163" s="43"/>
      <c r="F163" s="43"/>
      <c r="G163" s="43"/>
      <c r="H163" s="43"/>
    </row>
    <row r="164" spans="1:8" ht="25.5" x14ac:dyDescent="0.2">
      <c r="A164" s="136" t="s">
        <v>150</v>
      </c>
      <c r="B164" s="137" t="s">
        <v>45</v>
      </c>
      <c r="C164" s="2" t="s">
        <v>20</v>
      </c>
      <c r="D164" s="3" t="s">
        <v>5</v>
      </c>
      <c r="E164" s="276">
        <f>((12.11+16.01+22.3+12.24+12.66+16.99)*2.7)</f>
        <v>249.23700000000002</v>
      </c>
      <c r="F164" s="51">
        <v>3.38</v>
      </c>
      <c r="G164" s="130">
        <f t="shared" ref="G164:G166" si="108">F164*$H$5+F164</f>
        <v>4.0728999999999997</v>
      </c>
      <c r="H164" s="94">
        <f t="shared" ref="H164" si="109">E164*G164</f>
        <v>1015.1173773</v>
      </c>
    </row>
    <row r="165" spans="1:8" ht="51" x14ac:dyDescent="0.2">
      <c r="A165" s="154" t="s">
        <v>296</v>
      </c>
      <c r="B165" s="137" t="s">
        <v>46</v>
      </c>
      <c r="C165" s="161" t="s">
        <v>206</v>
      </c>
      <c r="D165" s="3" t="s">
        <v>5</v>
      </c>
      <c r="E165" s="276">
        <f>((12.11+16.01+22.3+12.24+12.66+16.99)*2.7)+77.99*3.2</f>
        <v>498.80500000000001</v>
      </c>
      <c r="F165" s="51">
        <v>11.63</v>
      </c>
      <c r="G165" s="130">
        <f t="shared" si="108"/>
        <v>14.014150000000001</v>
      </c>
      <c r="H165" s="94">
        <f t="shared" ref="H165:H166" si="110">E165*G165</f>
        <v>6990.3280907500002</v>
      </c>
    </row>
    <row r="166" spans="1:8" ht="39" thickBot="1" x14ac:dyDescent="0.25">
      <c r="A166" s="154" t="s">
        <v>297</v>
      </c>
      <c r="B166" s="169" t="s">
        <v>13</v>
      </c>
      <c r="C166" s="202" t="s">
        <v>205</v>
      </c>
      <c r="D166" s="3" t="s">
        <v>5</v>
      </c>
      <c r="E166" s="63">
        <f>82.87+1*(2*2.1*0.8)</f>
        <v>86.23</v>
      </c>
      <c r="F166" s="93">
        <v>16.989999999999998</v>
      </c>
      <c r="G166" s="130">
        <f t="shared" si="108"/>
        <v>20.472949999999997</v>
      </c>
      <c r="H166" s="94">
        <f t="shared" si="110"/>
        <v>1765.3824784999999</v>
      </c>
    </row>
    <row r="167" spans="1:8" ht="13.5" thickBot="1" x14ac:dyDescent="0.25">
      <c r="A167" s="15"/>
      <c r="B167" s="9"/>
      <c r="C167" s="22"/>
      <c r="D167" s="3"/>
      <c r="E167" s="101"/>
      <c r="F167" s="98" t="s">
        <v>47</v>
      </c>
      <c r="G167" s="99">
        <f>SUM(G164:G166)</f>
        <v>38.56</v>
      </c>
      <c r="H167" s="100">
        <f>SUM(H164:H166)</f>
        <v>9770.82794655</v>
      </c>
    </row>
    <row r="168" spans="1:8" x14ac:dyDescent="0.2">
      <c r="A168" s="15"/>
      <c r="B168" s="5"/>
      <c r="C168" s="2"/>
      <c r="D168" s="3"/>
      <c r="E168" s="26"/>
      <c r="F168" s="102"/>
      <c r="G168" s="102"/>
      <c r="H168" s="102"/>
    </row>
    <row r="169" spans="1:8" x14ac:dyDescent="0.2">
      <c r="A169" s="27" t="s">
        <v>89</v>
      </c>
      <c r="B169" s="30"/>
      <c r="C169" s="31" t="s">
        <v>48</v>
      </c>
      <c r="D169" s="128"/>
      <c r="E169" s="30"/>
      <c r="F169" s="30"/>
      <c r="G169" s="30"/>
      <c r="H169" s="30"/>
    </row>
    <row r="170" spans="1:8" x14ac:dyDescent="0.2">
      <c r="A170" s="136" t="s">
        <v>298</v>
      </c>
      <c r="B170" s="137" t="s">
        <v>22</v>
      </c>
      <c r="C170" s="65" t="s">
        <v>21</v>
      </c>
      <c r="D170" s="53" t="s">
        <v>5</v>
      </c>
      <c r="E170" s="61">
        <v>101.97</v>
      </c>
      <c r="F170" s="51">
        <v>1.9</v>
      </c>
      <c r="G170" s="130">
        <f t="shared" ref="G170" si="111">F170*$H$5+F170</f>
        <v>2.2894999999999999</v>
      </c>
      <c r="H170" s="94">
        <f t="shared" ref="H170" si="112">E170*G170</f>
        <v>233.46031499999998</v>
      </c>
    </row>
    <row r="171" spans="1:8" ht="26.25" thickBot="1" x14ac:dyDescent="0.25">
      <c r="A171" s="154" t="s">
        <v>90</v>
      </c>
      <c r="B171" s="173"/>
      <c r="C171" s="170" t="s">
        <v>299</v>
      </c>
      <c r="D171" s="158" t="s">
        <v>82</v>
      </c>
      <c r="E171" s="277">
        <v>1</v>
      </c>
      <c r="F171" s="51">
        <v>230</v>
      </c>
      <c r="G171" s="130">
        <f t="shared" ref="G171" si="113">F171*$H$5+F171</f>
        <v>277.14999999999998</v>
      </c>
      <c r="H171" s="94">
        <f t="shared" ref="H171" si="114">E171*G171</f>
        <v>277.14999999999998</v>
      </c>
    </row>
    <row r="172" spans="1:8" ht="13.5" thickBot="1" x14ac:dyDescent="0.25">
      <c r="A172" s="38"/>
      <c r="B172" s="39"/>
      <c r="C172" s="40"/>
      <c r="D172" s="41"/>
      <c r="E172" s="92"/>
      <c r="F172" s="98" t="s">
        <v>47</v>
      </c>
      <c r="G172" s="99">
        <f>SUM(G170:G171)</f>
        <v>279.43949999999995</v>
      </c>
      <c r="H172" s="100">
        <f>SUM(H170:H171)</f>
        <v>510.61031499999996</v>
      </c>
    </row>
    <row r="173" spans="1:8" ht="13.5" thickBot="1" x14ac:dyDescent="0.25">
      <c r="A173" s="38"/>
      <c r="B173" s="39"/>
      <c r="C173" s="40"/>
      <c r="D173" s="41"/>
      <c r="E173" s="42"/>
      <c r="F173" s="95"/>
      <c r="G173" s="96"/>
      <c r="H173" s="97"/>
    </row>
    <row r="174" spans="1:8" ht="18.75" thickBot="1" x14ac:dyDescent="0.25">
      <c r="A174" s="222" t="s">
        <v>182</v>
      </c>
      <c r="B174" s="223"/>
      <c r="C174" s="223"/>
      <c r="D174" s="223"/>
      <c r="E174" s="223"/>
      <c r="F174" s="223"/>
      <c r="G174" s="224"/>
      <c r="H174" s="135">
        <f>H11+H24+H43+H56+H65+H75+H81+H92+H127+H136+H143+H148+H155+H161+H167+H172</f>
        <v>104600.74798722699</v>
      </c>
    </row>
    <row r="175" spans="1:8" ht="15.75" x14ac:dyDescent="0.2">
      <c r="A175" s="132"/>
      <c r="B175" s="133"/>
      <c r="C175" s="133"/>
      <c r="D175" s="133"/>
      <c r="E175" s="133"/>
      <c r="F175" s="133"/>
      <c r="G175" s="133"/>
      <c r="H175" s="134"/>
    </row>
  </sheetData>
  <mergeCells count="15">
    <mergeCell ref="F7:F8"/>
    <mergeCell ref="G7:G8"/>
    <mergeCell ref="H7:H8"/>
    <mergeCell ref="A174:G174"/>
    <mergeCell ref="C26:E26"/>
    <mergeCell ref="A7:A8"/>
    <mergeCell ref="B7:B8"/>
    <mergeCell ref="C7:C8"/>
    <mergeCell ref="D7:D8"/>
    <mergeCell ref="E7:E8"/>
    <mergeCell ref="A1:H1"/>
    <mergeCell ref="A2:H3"/>
    <mergeCell ref="B4:F4"/>
    <mergeCell ref="G4:H4"/>
    <mergeCell ref="B5:E5"/>
  </mergeCells>
  <printOptions horizontalCentered="1"/>
  <pageMargins left="0.51181102362204722" right="0.39370078740157483" top="0.59055118110236227" bottom="0.39370078740157483" header="0.19685039370078741" footer="0.51181102362204722"/>
  <pageSetup paperSize="9" scale="70" orientation="portrait" r:id="rId1"/>
  <headerFooter alignWithMargins="0"/>
  <rowBreaks count="3" manualBreakCount="3">
    <brk id="51" max="7" man="1"/>
    <brk id="86" max="7" man="1"/>
    <brk id="123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M29" sqref="M29"/>
    </sheetView>
  </sheetViews>
  <sheetFormatPr defaultRowHeight="12.75" x14ac:dyDescent="0.2"/>
  <cols>
    <col min="1" max="1" width="4.5703125" customWidth="1"/>
    <col min="2" max="2" width="39.5703125" customWidth="1"/>
    <col min="3" max="3" width="13.28515625" bestFit="1" customWidth="1"/>
    <col min="4" max="4" width="7.28515625" bestFit="1" customWidth="1"/>
    <col min="5" max="5" width="14.28515625" bestFit="1" customWidth="1"/>
    <col min="6" max="6" width="8.28515625" bestFit="1" customWidth="1"/>
    <col min="7" max="7" width="13.28515625" bestFit="1" customWidth="1"/>
    <col min="8" max="8" width="8.28515625" bestFit="1" customWidth="1"/>
  </cols>
  <sheetData>
    <row r="1" spans="1:18" ht="21" thickBot="1" x14ac:dyDescent="0.25">
      <c r="A1" s="245" t="s">
        <v>37</v>
      </c>
      <c r="B1" s="246"/>
      <c r="C1" s="246"/>
      <c r="D1" s="246"/>
      <c r="E1" s="246"/>
      <c r="F1" s="246"/>
      <c r="G1" s="243"/>
      <c r="H1" s="244"/>
      <c r="J1" s="247"/>
      <c r="K1" s="247"/>
      <c r="L1" s="247"/>
      <c r="M1" s="247"/>
      <c r="N1" s="247"/>
      <c r="O1" s="12"/>
      <c r="P1" s="6"/>
      <c r="Q1" s="6"/>
      <c r="R1" s="6"/>
    </row>
    <row r="2" spans="1:18" ht="18.75" thickBot="1" x14ac:dyDescent="0.25">
      <c r="A2" s="254" t="s">
        <v>36</v>
      </c>
      <c r="B2" s="255"/>
      <c r="C2" s="255"/>
      <c r="D2" s="255"/>
      <c r="E2" s="255"/>
      <c r="F2" s="255"/>
      <c r="G2" s="13"/>
      <c r="H2" s="14"/>
      <c r="J2" s="258"/>
      <c r="K2" s="258"/>
      <c r="L2" s="258"/>
      <c r="M2" s="258"/>
      <c r="N2" s="258"/>
      <c r="O2" s="7"/>
      <c r="P2" s="6"/>
      <c r="Q2" s="6"/>
      <c r="R2" s="6"/>
    </row>
    <row r="3" spans="1:18" ht="18" x14ac:dyDescent="0.2">
      <c r="A3" s="256" t="s">
        <v>300</v>
      </c>
      <c r="B3" s="257"/>
      <c r="C3" s="257"/>
      <c r="D3" s="257"/>
      <c r="E3" s="257"/>
      <c r="F3" s="257"/>
      <c r="G3" s="10"/>
      <c r="H3" s="11"/>
      <c r="J3" s="1"/>
      <c r="K3" s="1"/>
      <c r="L3" s="1"/>
      <c r="M3" s="1"/>
      <c r="N3" s="1"/>
      <c r="O3" s="7"/>
      <c r="P3" s="6"/>
      <c r="Q3" s="6"/>
      <c r="R3" s="6"/>
    </row>
    <row r="4" spans="1:18" ht="18" x14ac:dyDescent="0.2">
      <c r="A4" s="259" t="s">
        <v>301</v>
      </c>
      <c r="B4" s="260"/>
      <c r="C4" s="261"/>
      <c r="D4" s="261"/>
      <c r="E4" s="261"/>
      <c r="F4" s="261"/>
      <c r="G4" s="248" t="s">
        <v>302</v>
      </c>
      <c r="H4" s="249"/>
      <c r="J4" s="1"/>
      <c r="K4" s="1"/>
      <c r="L4" s="1"/>
      <c r="M4" s="1"/>
      <c r="N4" s="1"/>
      <c r="O4" s="7"/>
      <c r="P4" s="6"/>
      <c r="Q4" s="6"/>
      <c r="R4" s="6"/>
    </row>
    <row r="5" spans="1:18" ht="15.75" x14ac:dyDescent="0.2">
      <c r="A5" s="252"/>
      <c r="B5" s="253"/>
      <c r="C5" s="253"/>
      <c r="D5" s="253"/>
      <c r="E5" s="253"/>
      <c r="F5" s="205"/>
      <c r="G5" s="250"/>
      <c r="H5" s="251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237" t="s">
        <v>39</v>
      </c>
      <c r="B6" s="238" t="s">
        <v>40</v>
      </c>
      <c r="C6" s="232" t="s">
        <v>23</v>
      </c>
      <c r="D6" s="232"/>
      <c r="E6" s="232"/>
      <c r="F6" s="232"/>
      <c r="G6" s="239" t="s">
        <v>24</v>
      </c>
      <c r="H6" s="240"/>
      <c r="J6" s="6"/>
      <c r="K6" s="6"/>
      <c r="L6" s="6"/>
      <c r="M6" s="6"/>
      <c r="N6" s="6"/>
      <c r="O6" s="6"/>
      <c r="P6" s="6"/>
      <c r="Q6" s="6"/>
      <c r="R6" s="6"/>
    </row>
    <row r="7" spans="1:18" x14ac:dyDescent="0.2">
      <c r="A7" s="237"/>
      <c r="B7" s="238"/>
      <c r="C7" s="241" t="s">
        <v>15</v>
      </c>
      <c r="D7" s="242"/>
      <c r="E7" s="241" t="s">
        <v>16</v>
      </c>
      <c r="F7" s="242"/>
      <c r="G7" s="239"/>
      <c r="H7" s="240"/>
      <c r="J7" s="6"/>
      <c r="K7" s="6"/>
      <c r="L7" s="6"/>
      <c r="M7" s="6"/>
      <c r="N7" s="6"/>
      <c r="O7" s="6"/>
      <c r="P7" s="6"/>
      <c r="Q7" s="6"/>
      <c r="R7" s="6"/>
    </row>
    <row r="8" spans="1:18" s="147" customFormat="1" x14ac:dyDescent="0.2">
      <c r="A8" s="237"/>
      <c r="B8" s="238"/>
      <c r="C8" s="145" t="s">
        <v>25</v>
      </c>
      <c r="D8" s="145" t="s">
        <v>26</v>
      </c>
      <c r="E8" s="145" t="s">
        <v>25</v>
      </c>
      <c r="F8" s="145" t="s">
        <v>26</v>
      </c>
      <c r="G8" s="145" t="s">
        <v>25</v>
      </c>
      <c r="H8" s="146" t="s">
        <v>26</v>
      </c>
      <c r="J8" s="148"/>
      <c r="K8" s="148"/>
      <c r="L8" s="148"/>
      <c r="M8" s="148"/>
      <c r="N8" s="148"/>
      <c r="O8" s="148"/>
      <c r="P8" s="148"/>
      <c r="Q8" s="148"/>
      <c r="R8" s="148"/>
    </row>
    <row r="9" spans="1:18" x14ac:dyDescent="0.2">
      <c r="A9" s="149">
        <v>1</v>
      </c>
      <c r="B9" s="206" t="str">
        <f>Orçamento!C9</f>
        <v>SERVIÇOS INICIAIS</v>
      </c>
      <c r="C9" s="185">
        <f t="shared" ref="C9:C24" si="0">D9*$G9</f>
        <v>470.78144999999995</v>
      </c>
      <c r="D9" s="186">
        <v>1</v>
      </c>
      <c r="E9" s="139">
        <f t="shared" ref="E9:E24" si="1">F9*$G9</f>
        <v>0</v>
      </c>
      <c r="F9" s="144"/>
      <c r="G9" s="140">
        <f>Orçamento!H11</f>
        <v>470.78144999999995</v>
      </c>
      <c r="H9" s="141">
        <f t="shared" ref="H9:H24" si="2">G9/$G$26</f>
        <v>4.5007464961673892E-3</v>
      </c>
      <c r="J9" s="6"/>
      <c r="K9" s="6"/>
      <c r="L9" s="6"/>
      <c r="M9" s="6"/>
      <c r="N9" s="6"/>
      <c r="O9" s="6"/>
      <c r="P9" s="6"/>
      <c r="Q9" s="6"/>
      <c r="R9" s="6"/>
    </row>
    <row r="10" spans="1:18" x14ac:dyDescent="0.2">
      <c r="A10" s="149">
        <v>2</v>
      </c>
      <c r="B10" s="206" t="str">
        <f>Orçamento!C13</f>
        <v>DEMOLIÇÃO</v>
      </c>
      <c r="C10" s="185">
        <f t="shared" si="0"/>
        <v>3838.8283885000001</v>
      </c>
      <c r="D10" s="186">
        <v>1</v>
      </c>
      <c r="E10" s="139">
        <f t="shared" si="1"/>
        <v>0</v>
      </c>
      <c r="F10" s="144"/>
      <c r="G10" s="140">
        <f>Orçamento!H24</f>
        <v>3838.8283885000001</v>
      </c>
      <c r="H10" s="141">
        <f t="shared" si="2"/>
        <v>3.6699817758174803E-2</v>
      </c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">
      <c r="A11" s="149">
        <v>3</v>
      </c>
      <c r="B11" s="206" t="str">
        <f>Orçamento!C26</f>
        <v>ESTRUTURA DE CONCRETO ARMADO</v>
      </c>
      <c r="C11" s="185">
        <f t="shared" si="0"/>
        <v>3685.0571602510004</v>
      </c>
      <c r="D11" s="186">
        <v>0.5</v>
      </c>
      <c r="E11" s="139">
        <f t="shared" si="1"/>
        <v>3685.0571602510004</v>
      </c>
      <c r="F11" s="144">
        <v>0.5</v>
      </c>
      <c r="G11" s="140">
        <f>Orçamento!H43</f>
        <v>7370.1143205020007</v>
      </c>
      <c r="H11" s="141">
        <f t="shared" si="2"/>
        <v>7.0459480092838159E-2</v>
      </c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">
      <c r="A12" s="149">
        <v>4</v>
      </c>
      <c r="B12" s="206" t="str">
        <f>Orçamento!C45</f>
        <v>COBERTURA</v>
      </c>
      <c r="C12" s="185">
        <f t="shared" si="0"/>
        <v>23958.936241200001</v>
      </c>
      <c r="D12" s="186">
        <v>0.8</v>
      </c>
      <c r="E12" s="139">
        <f t="shared" si="1"/>
        <v>5989.7340603000002</v>
      </c>
      <c r="F12" s="144">
        <v>0.2</v>
      </c>
      <c r="G12" s="140">
        <f>Orçamento!H56</f>
        <v>29948.670301499998</v>
      </c>
      <c r="H12" s="141">
        <f t="shared" si="2"/>
        <v>0.28631411225813691</v>
      </c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">
      <c r="A13" s="149">
        <v>5</v>
      </c>
      <c r="B13" s="206" t="str">
        <f>Orçamento!C58</f>
        <v>ALVENARIA DE VEDAÇÃO</v>
      </c>
      <c r="C13" s="185">
        <f t="shared" si="0"/>
        <v>8445.4178275000013</v>
      </c>
      <c r="D13" s="186">
        <v>1</v>
      </c>
      <c r="E13" s="139">
        <f t="shared" si="1"/>
        <v>0</v>
      </c>
      <c r="F13" s="144"/>
      <c r="G13" s="140">
        <f>Orçamento!H65</f>
        <v>8445.4178275000013</v>
      </c>
      <c r="H13" s="141">
        <f t="shared" si="2"/>
        <v>8.0739554831207219E-2</v>
      </c>
    </row>
    <row r="14" spans="1:18" x14ac:dyDescent="0.2">
      <c r="A14" s="149">
        <v>6</v>
      </c>
      <c r="B14" s="206" t="str">
        <f>Orçamento!C67</f>
        <v>PAVIMENTAÇÃO</v>
      </c>
      <c r="C14" s="185">
        <f t="shared" si="0"/>
        <v>2521.378088545001</v>
      </c>
      <c r="D14" s="186">
        <v>0.2</v>
      </c>
      <c r="E14" s="139">
        <f t="shared" si="1"/>
        <v>10085.512354180004</v>
      </c>
      <c r="F14" s="144">
        <v>0.8</v>
      </c>
      <c r="G14" s="140">
        <f>Orçamento!H75</f>
        <v>12606.890442725004</v>
      </c>
      <c r="H14" s="141">
        <f t="shared" si="2"/>
        <v>0.12052390336887893</v>
      </c>
    </row>
    <row r="15" spans="1:18" x14ac:dyDescent="0.2">
      <c r="A15" s="149">
        <v>7</v>
      </c>
      <c r="B15" s="206" t="str">
        <f>Orçamento!C77</f>
        <v>REVESTIMENTOS</v>
      </c>
      <c r="C15" s="185">
        <f t="shared" si="0"/>
        <v>0</v>
      </c>
      <c r="D15" s="186"/>
      <c r="E15" s="139">
        <f t="shared" si="1"/>
        <v>3411.0414469500001</v>
      </c>
      <c r="F15" s="144">
        <v>1</v>
      </c>
      <c r="G15" s="140">
        <f>Orçamento!H81</f>
        <v>3411.0414469500001</v>
      </c>
      <c r="H15" s="141">
        <f t="shared" si="2"/>
        <v>3.2610105688407977E-2</v>
      </c>
    </row>
    <row r="16" spans="1:18" x14ac:dyDescent="0.2">
      <c r="A16" s="149">
        <v>8</v>
      </c>
      <c r="B16" s="206" t="str">
        <f>Orçamento!C83</f>
        <v>ESQUADRIAS -Portas e Janelas</v>
      </c>
      <c r="C16" s="185">
        <f t="shared" si="0"/>
        <v>4278.4109183999999</v>
      </c>
      <c r="D16" s="186">
        <v>0.3</v>
      </c>
      <c r="E16" s="139">
        <f t="shared" si="1"/>
        <v>9982.9588095999989</v>
      </c>
      <c r="F16" s="144">
        <v>0.7</v>
      </c>
      <c r="G16" s="140">
        <f>Orçamento!H92</f>
        <v>14261.369728</v>
      </c>
      <c r="H16" s="141">
        <f t="shared" si="2"/>
        <v>0.13634099184206105</v>
      </c>
    </row>
    <row r="17" spans="1:8" ht="25.5" x14ac:dyDescent="0.2">
      <c r="A17" s="149">
        <v>9</v>
      </c>
      <c r="B17" s="206" t="str">
        <f>Orçamento!C94</f>
        <v>INSTALAÇÕES DE ELETRICIDADE, TELEFONIA E LÓGICA</v>
      </c>
      <c r="C17" s="185">
        <f t="shared" si="0"/>
        <v>2180.6569289999998</v>
      </c>
      <c r="D17" s="186">
        <v>0.2</v>
      </c>
      <c r="E17" s="139">
        <f t="shared" si="1"/>
        <v>8722.6277159999991</v>
      </c>
      <c r="F17" s="144">
        <v>0.8</v>
      </c>
      <c r="G17" s="140">
        <f>Orçamento!H127</f>
        <v>10903.284644999998</v>
      </c>
      <c r="H17" s="141">
        <f t="shared" si="2"/>
        <v>0.10423715752330394</v>
      </c>
    </row>
    <row r="18" spans="1:8" x14ac:dyDescent="0.2">
      <c r="A18" s="149">
        <v>10</v>
      </c>
      <c r="B18" s="206" t="str">
        <f>Orçamento!C129</f>
        <v>INSTALAÇÕES HIDRAULICA</v>
      </c>
      <c r="C18" s="185">
        <f t="shared" si="0"/>
        <v>42.125595000000004</v>
      </c>
      <c r="D18" s="186">
        <v>0.2</v>
      </c>
      <c r="E18" s="139">
        <f t="shared" si="1"/>
        <v>168.50238000000002</v>
      </c>
      <c r="F18" s="144">
        <v>0.8</v>
      </c>
      <c r="G18" s="140">
        <f>Orçamento!H136</f>
        <v>210.62797499999999</v>
      </c>
      <c r="H18" s="141">
        <f t="shared" si="2"/>
        <v>2.0136373692635563E-3</v>
      </c>
    </row>
    <row r="19" spans="1:8" x14ac:dyDescent="0.2">
      <c r="A19" s="149">
        <v>11</v>
      </c>
      <c r="B19" s="206" t="str">
        <f>Orçamento!C138</f>
        <v>INSTALAÇÕES SANITÁRIA</v>
      </c>
      <c r="C19" s="185">
        <f t="shared" si="0"/>
        <v>0</v>
      </c>
      <c r="D19" s="186"/>
      <c r="E19" s="139">
        <f t="shared" si="1"/>
        <v>379.49064999999996</v>
      </c>
      <c r="F19" s="144">
        <v>1</v>
      </c>
      <c r="G19" s="140">
        <f>Orçamento!H143</f>
        <v>379.49064999999996</v>
      </c>
      <c r="H19" s="141">
        <f t="shared" si="2"/>
        <v>3.6279917429112487E-3</v>
      </c>
    </row>
    <row r="20" spans="1:8" x14ac:dyDescent="0.2">
      <c r="A20" s="149">
        <v>12</v>
      </c>
      <c r="B20" s="206" t="str">
        <f>Orçamento!C145</f>
        <v>Drenagem Pluvial</v>
      </c>
      <c r="C20" s="185">
        <f t="shared" si="0"/>
        <v>0</v>
      </c>
      <c r="D20" s="186"/>
      <c r="E20" s="139">
        <f t="shared" si="1"/>
        <v>804.22905000000003</v>
      </c>
      <c r="F20" s="144">
        <v>1</v>
      </c>
      <c r="G20" s="140">
        <f>Orçamento!H148</f>
        <v>804.22905000000003</v>
      </c>
      <c r="H20" s="141">
        <f t="shared" si="2"/>
        <v>7.6885592643965231E-3</v>
      </c>
    </row>
    <row r="21" spans="1:8" x14ac:dyDescent="0.2">
      <c r="A21" s="149">
        <v>13</v>
      </c>
      <c r="B21" s="206" t="str">
        <f>Orçamento!C150</f>
        <v>PREVENÇÃO DE INCÊNDIOS</v>
      </c>
      <c r="C21" s="185">
        <f t="shared" si="0"/>
        <v>0</v>
      </c>
      <c r="D21" s="186"/>
      <c r="E21" s="139">
        <f t="shared" si="1"/>
        <v>549.11850000000004</v>
      </c>
      <c r="F21" s="144">
        <v>1</v>
      </c>
      <c r="G21" s="140">
        <f>Orçamento!H155</f>
        <v>549.11850000000004</v>
      </c>
      <c r="H21" s="141">
        <f t="shared" si="2"/>
        <v>5.249661312814455E-3</v>
      </c>
    </row>
    <row r="22" spans="1:8" x14ac:dyDescent="0.2">
      <c r="A22" s="149">
        <v>14</v>
      </c>
      <c r="B22" s="206" t="str">
        <f>Orçamento!C157</f>
        <v>ACESSÓRIOS</v>
      </c>
      <c r="C22" s="185">
        <f t="shared" si="0"/>
        <v>0</v>
      </c>
      <c r="D22" s="186"/>
      <c r="E22" s="139">
        <f t="shared" si="1"/>
        <v>1119.4449999999999</v>
      </c>
      <c r="F22" s="144">
        <v>1</v>
      </c>
      <c r="G22" s="140">
        <f>Orçamento!H161</f>
        <v>1119.4449999999999</v>
      </c>
      <c r="H22" s="141">
        <f t="shared" si="2"/>
        <v>1.0702074521844697E-2</v>
      </c>
    </row>
    <row r="23" spans="1:8" x14ac:dyDescent="0.2">
      <c r="A23" s="149">
        <v>15</v>
      </c>
      <c r="B23" s="206" t="str">
        <f>Orçamento!C163</f>
        <v>PINTURA</v>
      </c>
      <c r="C23" s="185">
        <f t="shared" si="0"/>
        <v>0</v>
      </c>
      <c r="D23" s="186"/>
      <c r="E23" s="139">
        <f t="shared" si="1"/>
        <v>9770.82794655</v>
      </c>
      <c r="F23" s="144">
        <v>1</v>
      </c>
      <c r="G23" s="142">
        <f>Orçamento!H167</f>
        <v>9770.82794655</v>
      </c>
      <c r="H23" s="141">
        <f t="shared" si="2"/>
        <v>9.3410689068333774E-2</v>
      </c>
    </row>
    <row r="24" spans="1:8" ht="13.5" thickBot="1" x14ac:dyDescent="0.25">
      <c r="A24" s="149">
        <v>16</v>
      </c>
      <c r="B24" s="206" t="str">
        <f>Orçamento!C169</f>
        <v xml:space="preserve">SERVIÇOS FINAIS </v>
      </c>
      <c r="C24" s="185">
        <f t="shared" si="0"/>
        <v>0</v>
      </c>
      <c r="D24" s="186"/>
      <c r="E24" s="139">
        <f t="shared" si="1"/>
        <v>510.61031499999996</v>
      </c>
      <c r="F24" s="144">
        <v>1</v>
      </c>
      <c r="G24" s="264">
        <f>Orçamento!H172</f>
        <v>510.61031499999996</v>
      </c>
      <c r="H24" s="265">
        <f t="shared" si="2"/>
        <v>4.8815168612594585E-3</v>
      </c>
    </row>
    <row r="25" spans="1:8" s="8" customFormat="1" x14ac:dyDescent="0.2">
      <c r="A25" s="231" t="s">
        <v>27</v>
      </c>
      <c r="B25" s="232"/>
      <c r="C25" s="182">
        <f>SUM(C9:C24)</f>
        <v>49421.592598395997</v>
      </c>
      <c r="D25" s="181">
        <f>C25/$G$26</f>
        <v>0.47247838614338561</v>
      </c>
      <c r="E25" s="182">
        <f>SUM(E9:E24)</f>
        <v>55179.155388830994</v>
      </c>
      <c r="F25" s="262">
        <f>E25/$G$26</f>
        <v>0.52752161385661445</v>
      </c>
      <c r="G25" s="267">
        <f>SUM(G9:G24)</f>
        <v>104600.74798722699</v>
      </c>
      <c r="H25" s="268">
        <f>SUM(H9:H24)</f>
        <v>1</v>
      </c>
    </row>
    <row r="26" spans="1:8" s="8" customFormat="1" ht="13.5" thickBot="1" x14ac:dyDescent="0.25">
      <c r="A26" s="233" t="s">
        <v>28</v>
      </c>
      <c r="B26" s="234"/>
      <c r="C26" s="183">
        <f>C25</f>
        <v>49421.592598395997</v>
      </c>
      <c r="D26" s="143">
        <f>D25</f>
        <v>0.47247838614338561</v>
      </c>
      <c r="E26" s="184">
        <f>E25+C26</f>
        <v>104600.74798722699</v>
      </c>
      <c r="F26" s="263">
        <f>D26+F25</f>
        <v>1</v>
      </c>
      <c r="G26" s="269">
        <f>E26</f>
        <v>104600.74798722699</v>
      </c>
      <c r="H26" s="270"/>
    </row>
    <row r="27" spans="1:8" ht="13.5" thickBot="1" x14ac:dyDescent="0.25">
      <c r="A27" s="235"/>
      <c r="B27" s="236"/>
      <c r="C27" s="229" t="s">
        <v>179</v>
      </c>
      <c r="D27" s="230"/>
      <c r="E27" s="230"/>
      <c r="F27" s="230"/>
      <c r="G27" s="230"/>
      <c r="H27" s="266"/>
    </row>
    <row r="28" spans="1:8" x14ac:dyDescent="0.2">
      <c r="A28" s="228"/>
      <c r="B28" s="228"/>
      <c r="C28" s="228"/>
      <c r="D28" s="228"/>
      <c r="E28" s="228"/>
      <c r="F28" s="228"/>
      <c r="G28" s="228"/>
      <c r="H28" s="228"/>
    </row>
  </sheetData>
  <mergeCells count="22">
    <mergeCell ref="G1:H1"/>
    <mergeCell ref="A1:F1"/>
    <mergeCell ref="J1:N1"/>
    <mergeCell ref="G4:H5"/>
    <mergeCell ref="A5:E5"/>
    <mergeCell ref="A2:F2"/>
    <mergeCell ref="A3:F3"/>
    <mergeCell ref="J2:N2"/>
    <mergeCell ref="A4:F4"/>
    <mergeCell ref="A6:A8"/>
    <mergeCell ref="B6:B8"/>
    <mergeCell ref="C6:F6"/>
    <mergeCell ref="G6:H7"/>
    <mergeCell ref="C7:D7"/>
    <mergeCell ref="E7:F7"/>
    <mergeCell ref="A28:H28"/>
    <mergeCell ref="C27:F27"/>
    <mergeCell ref="G27:H27"/>
    <mergeCell ref="A25:B25"/>
    <mergeCell ref="A26:B26"/>
    <mergeCell ref="A27:B27"/>
    <mergeCell ref="G26:H26"/>
  </mergeCells>
  <phoneticPr fontId="13" type="noConversion"/>
  <printOptions horizontalCentered="1"/>
  <pageMargins left="0.27559055118110237" right="0.15748031496062992" top="0.82677165354330717" bottom="0.43307086614173229" header="0.11811023622047245" footer="0.43307086614173229"/>
  <pageSetup paperSize="9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Orçamento!Texto3</vt:lpstr>
      <vt:lpstr>Orçamento!Texto4</vt:lpstr>
    </vt:vector>
  </TitlesOfParts>
  <Company>Prefeirura Blumenau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Prefeirura Blumenau</dc:creator>
  <cp:lastModifiedBy>Usuário do Windows</cp:lastModifiedBy>
  <cp:lastPrinted>2020-02-26T11:45:38Z</cp:lastPrinted>
  <dcterms:created xsi:type="dcterms:W3CDTF">2003-10-24T18:12:58Z</dcterms:created>
  <dcterms:modified xsi:type="dcterms:W3CDTF">2020-02-26T11:46:37Z</dcterms:modified>
</cp:coreProperties>
</file>